
<file path=[Content_Types].xml><?xml version="1.0" encoding="utf-8"?>
<Types xmlns="http://schemas.openxmlformats.org/package/2006/content-types">
  <Default Extension="bin" ContentType="application/vnd.openxmlformats-officedocument.oleObject"/>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drawings/drawing2.xml" ContentType="application/vnd.openxmlformats-officedocument.drawing+xml"/>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drawings/drawing3.xml" ContentType="application/vnd.openxmlformats-officedocument.drawing+xml"/>
  <Override PartName="/xl/printerSettings/printerSettings11.bin" ContentType="application/vnd.openxmlformats-officedocument.spreadsheetml.printerSettings"/>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James\Downloads\"/>
    </mc:Choice>
  </mc:AlternateContent>
  <xr:revisionPtr revIDLastSave="0" documentId="8_{8135D55D-BE32-43C5-AA62-865320BEC968}" xr6:coauthVersionLast="45" xr6:coauthVersionMax="45" xr10:uidLastSave="{00000000-0000-0000-0000-000000000000}"/>
  <bookViews>
    <workbookView xWindow="-120" yWindow="-120" windowWidth="38640" windowHeight="15840" activeTab="3" xr2:uid="{00000000-000D-0000-FFFF-FFFF00000000}"/>
  </bookViews>
  <sheets>
    <sheet name="1. Advantages of ETSW" sheetId="26" r:id="rId1"/>
    <sheet name="2. Software Instructions" sheetId="30" r:id="rId2"/>
    <sheet name="3. Application Notes" sheetId="29" r:id="rId3"/>
    <sheet name="4. MAIN (START)+Summary" sheetId="27" r:id="rId4"/>
    <sheet name="5. Sample ETSW BWash Proc." sheetId="24" r:id="rId5"/>
    <sheet name="6. ETSW Time" sheetId="4" r:id="rId6"/>
    <sheet name="7. Fluidization Time" sheetId="25" r:id="rId7"/>
    <sheet name="8. ETSW-Sand" sheetId="21" r:id="rId8"/>
    <sheet name="9. ETSW-Anthr" sheetId="33" r:id="rId9"/>
    <sheet name="10. Vmf-Sand" sheetId="1" r:id="rId10"/>
    <sheet name="11. Vmf-Anthracite" sheetId="20" r:id="rId11"/>
    <sheet name="12. Air Scour Example" sheetId="34" r:id="rId12"/>
    <sheet name="13. Conversion-gpm to gpm-sf" sheetId="8" r:id="rId13"/>
    <sheet name="14. Constants vs Temperature" sheetId="2" r:id="rId14"/>
    <sheet name="15. Typical Media Values" sheetId="23" r:id="rId15"/>
    <sheet name="16. pOH vs. pH" sheetId="35" r:id="rId16"/>
    <sheet name="17. Contact Info" sheetId="28" r:id="rId17"/>
  </sheets>
  <definedNames>
    <definedName name="_xlnm.Print_Area" localSheetId="3">'4. MAIN (START)+Summary'!$A$1:$R$16</definedName>
    <definedName name="_xlnm.Print_Area" localSheetId="4">'5. Sample ETSW BWash Proc.'!$A$1:$C$28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35" l="1"/>
  <c r="D4" i="35"/>
  <c r="D5" i="35"/>
  <c r="D6" i="35"/>
  <c r="D7" i="35"/>
  <c r="D8" i="35"/>
  <c r="D9" i="35"/>
  <c r="D10" i="35"/>
  <c r="D11" i="35"/>
  <c r="D15" i="35"/>
  <c r="D16" i="35"/>
  <c r="D17" i="35"/>
  <c r="D18" i="35"/>
  <c r="D19" i="35"/>
  <c r="D20" i="35"/>
  <c r="D21" i="35"/>
  <c r="D22" i="35"/>
  <c r="D23" i="35"/>
  <c r="B2" i="20" l="1"/>
  <c r="B3" i="20"/>
  <c r="E4" i="20" s="1"/>
  <c r="B5" i="20"/>
  <c r="O35" i="35"/>
  <c r="O34" i="35"/>
  <c r="O33" i="35"/>
  <c r="O32" i="35"/>
  <c r="O31" i="35"/>
  <c r="O30" i="35"/>
  <c r="O29" i="35"/>
  <c r="O28" i="35"/>
  <c r="O27" i="35"/>
  <c r="I35" i="35"/>
  <c r="I34" i="35"/>
  <c r="I33" i="35"/>
  <c r="I32" i="35"/>
  <c r="I31" i="35"/>
  <c r="I30" i="35"/>
  <c r="I29" i="35"/>
  <c r="I28" i="35"/>
  <c r="I27" i="35"/>
  <c r="C40" i="35"/>
  <c r="D40" i="35" s="1"/>
  <c r="C41" i="35"/>
  <c r="D41" i="35" s="1"/>
  <c r="C42" i="35"/>
  <c r="C43" i="35"/>
  <c r="D43" i="35" s="1"/>
  <c r="C44" i="35"/>
  <c r="D44" i="35" s="1"/>
  <c r="C45" i="35"/>
  <c r="D45" i="35" s="1"/>
  <c r="C46" i="35"/>
  <c r="C47" i="35"/>
  <c r="D47" i="35" s="1"/>
  <c r="C39" i="35"/>
  <c r="D39" i="35" s="1"/>
  <c r="C28" i="35"/>
  <c r="C29" i="35"/>
  <c r="C30" i="35"/>
  <c r="C31" i="35"/>
  <c r="C32" i="35"/>
  <c r="C33" i="35"/>
  <c r="C34" i="35"/>
  <c r="C35" i="35"/>
  <c r="C27" i="35"/>
  <c r="D46" i="35"/>
  <c r="D42" i="35"/>
  <c r="I12" i="24" l="1"/>
  <c r="G14" i="27"/>
  <c r="C14" i="27" s="1"/>
  <c r="C8" i="24" s="1"/>
  <c r="L7" i="27"/>
  <c r="L6" i="27"/>
  <c r="B7" i="4" l="1"/>
  <c r="D7" i="4" s="1"/>
  <c r="E7" i="4" s="1"/>
  <c r="B6" i="4"/>
  <c r="D6" i="4" s="1"/>
  <c r="E6" i="4" s="1"/>
  <c r="B5" i="33"/>
  <c r="B3" i="33"/>
  <c r="B2" i="33"/>
  <c r="E4" i="33" s="1"/>
  <c r="C30" i="8"/>
  <c r="C31" i="8"/>
  <c r="C32" i="8"/>
  <c r="C33" i="8"/>
  <c r="C34" i="8"/>
  <c r="C35" i="8"/>
  <c r="C36" i="8"/>
  <c r="C37" i="8"/>
  <c r="C38" i="8"/>
  <c r="C39" i="8"/>
  <c r="C40" i="8"/>
  <c r="C41" i="8"/>
  <c r="C5" i="8"/>
  <c r="D32" i="27"/>
  <c r="D33" i="27"/>
  <c r="D34" i="27"/>
  <c r="D35" i="27"/>
  <c r="D36" i="27"/>
  <c r="D37" i="27"/>
  <c r="B2" i="21"/>
  <c r="E4" i="21" s="1"/>
  <c r="B3" i="21"/>
  <c r="B5" i="21"/>
  <c r="B2" i="1"/>
  <c r="B3" i="1"/>
  <c r="B5" i="1"/>
  <c r="C2" i="2"/>
  <c r="C3" i="2"/>
  <c r="C4" i="2"/>
  <c r="C5" i="2"/>
  <c r="C6" i="2"/>
  <c r="C7" i="2"/>
  <c r="C8" i="2"/>
  <c r="D3" i="4"/>
  <c r="D4" i="4"/>
  <c r="E4" i="4"/>
  <c r="H4" i="4" s="1"/>
  <c r="B5" i="4"/>
  <c r="D5" i="4" s="1"/>
  <c r="E5" i="4" s="1"/>
  <c r="B7" i="25"/>
  <c r="C7" i="25"/>
  <c r="D7" i="25"/>
  <c r="E7" i="25"/>
  <c r="F7" i="25"/>
  <c r="B8" i="25"/>
  <c r="C8" i="25"/>
  <c r="D8" i="25"/>
  <c r="E8" i="25"/>
  <c r="F8" i="25"/>
  <c r="B9" i="25"/>
  <c r="C9" i="25"/>
  <c r="D9" i="25"/>
  <c r="E9" i="25"/>
  <c r="F9" i="25"/>
  <c r="B10" i="25"/>
  <c r="C10" i="25"/>
  <c r="D10" i="25"/>
  <c r="E10" i="25"/>
  <c r="F10" i="25"/>
  <c r="B17" i="25"/>
  <c r="C17" i="25"/>
  <c r="D17" i="25"/>
  <c r="E17" i="25"/>
  <c r="F17" i="25"/>
  <c r="B18" i="25"/>
  <c r="C18" i="25"/>
  <c r="D18" i="25"/>
  <c r="E18" i="25"/>
  <c r="F18" i="25"/>
  <c r="C2" i="8"/>
  <c r="A6" i="8"/>
  <c r="C6" i="8" s="1"/>
  <c r="D6" i="8"/>
  <c r="D7" i="8" s="1"/>
  <c r="A7" i="8"/>
  <c r="C7" i="8" s="1"/>
  <c r="B5" i="8" l="1"/>
  <c r="F5" i="8" s="1"/>
  <c r="G2" i="8"/>
  <c r="A8" i="8"/>
  <c r="B34" i="8"/>
  <c r="B6" i="8"/>
  <c r="F6" i="8" s="1"/>
  <c r="B32" i="8"/>
  <c r="B8" i="4"/>
  <c r="B38" i="8"/>
  <c r="B39" i="8"/>
  <c r="B37" i="8"/>
  <c r="B33" i="8"/>
  <c r="B30" i="8"/>
  <c r="E5" i="8"/>
  <c r="B35" i="8"/>
  <c r="E6" i="8"/>
  <c r="B7" i="8"/>
  <c r="F7" i="8" s="1"/>
  <c r="G7" i="8" s="1"/>
  <c r="H7" i="8" s="1"/>
  <c r="B40" i="8"/>
  <c r="B31" i="8"/>
  <c r="E8" i="20"/>
  <c r="E16" i="20" s="1"/>
  <c r="B36" i="8"/>
  <c r="B41" i="8"/>
  <c r="E14" i="33"/>
  <c r="E22" i="33" s="1"/>
  <c r="E39" i="33" s="1"/>
  <c r="E8" i="33"/>
  <c r="E16" i="33" s="1"/>
  <c r="E13" i="33"/>
  <c r="E21" i="33" s="1"/>
  <c r="E9" i="21"/>
  <c r="E17" i="21" s="1"/>
  <c r="E10" i="21"/>
  <c r="E18" i="21" s="1"/>
  <c r="E8" i="21"/>
  <c r="E16" i="21" s="1"/>
  <c r="E4" i="1"/>
  <c r="E9" i="1" s="1"/>
  <c r="E7" i="8"/>
  <c r="D8" i="8"/>
  <c r="I4" i="4"/>
  <c r="I6" i="4"/>
  <c r="H5" i="4"/>
  <c r="I5" i="4"/>
  <c r="H7" i="4"/>
  <c r="I7" i="4"/>
  <c r="H6" i="4"/>
  <c r="E3" i="4"/>
  <c r="D8" i="4"/>
  <c r="E14" i="21"/>
  <c r="E22" i="21" s="1"/>
  <c r="E12" i="21"/>
  <c r="E20" i="21" s="1"/>
  <c r="E13" i="21"/>
  <c r="E21" i="21" s="1"/>
  <c r="E11" i="21"/>
  <c r="E19" i="21" s="1"/>
  <c r="E12" i="33"/>
  <c r="E20" i="33" s="1"/>
  <c r="E11" i="33"/>
  <c r="E19" i="33" s="1"/>
  <c r="E9" i="33"/>
  <c r="E17" i="33" s="1"/>
  <c r="E10" i="33"/>
  <c r="E18" i="33" s="1"/>
  <c r="C8" i="8" l="1"/>
  <c r="A9" i="8"/>
  <c r="B8" i="8"/>
  <c r="F8" i="8" s="1"/>
  <c r="G8" i="8" s="1"/>
  <c r="H8" i="8" s="1"/>
  <c r="G6" i="8"/>
  <c r="H6" i="8" s="1"/>
  <c r="G5" i="8"/>
  <c r="H5" i="8" s="1"/>
  <c r="E11" i="20"/>
  <c r="E19" i="20" s="1"/>
  <c r="E36" i="20" s="1"/>
  <c r="E13" i="20"/>
  <c r="E21" i="20" s="1"/>
  <c r="E38" i="20" s="1"/>
  <c r="E14" i="20"/>
  <c r="E22" i="20" s="1"/>
  <c r="E31" i="20" s="1"/>
  <c r="D49" i="20" s="1"/>
  <c r="E9" i="20"/>
  <c r="E17" i="20" s="1"/>
  <c r="E34" i="20" s="1"/>
  <c r="E12" i="20"/>
  <c r="E20" i="20" s="1"/>
  <c r="E29" i="20" s="1"/>
  <c r="D47" i="20" s="1"/>
  <c r="F47" i="20" s="1"/>
  <c r="E10" i="20"/>
  <c r="E18" i="20" s="1"/>
  <c r="E35" i="20" s="1"/>
  <c r="D53" i="20" s="1"/>
  <c r="E31" i="33"/>
  <c r="E13" i="1"/>
  <c r="E21" i="1" s="1"/>
  <c r="E14" i="1"/>
  <c r="E8" i="1"/>
  <c r="E16" i="1" s="1"/>
  <c r="E17" i="1"/>
  <c r="E26" i="1" s="1"/>
  <c r="D44" i="1" s="1"/>
  <c r="E38" i="33"/>
  <c r="C21" i="27" s="1"/>
  <c r="C27" i="27" s="1"/>
  <c r="E30" i="33"/>
  <c r="E33" i="33"/>
  <c r="E25" i="33"/>
  <c r="E35" i="21"/>
  <c r="E27" i="21"/>
  <c r="E26" i="21"/>
  <c r="E34" i="21"/>
  <c r="B20" i="27" s="1"/>
  <c r="B26" i="27" s="1"/>
  <c r="E10" i="1"/>
  <c r="E18" i="1" s="1"/>
  <c r="E22" i="1"/>
  <c r="E39" i="1" s="1"/>
  <c r="D57" i="1" s="1"/>
  <c r="E11" i="1"/>
  <c r="E19" i="1" s="1"/>
  <c r="E28" i="1" s="1"/>
  <c r="D46" i="1" s="1"/>
  <c r="E12" i="1"/>
  <c r="E20" i="1" s="1"/>
  <c r="E37" i="1" s="1"/>
  <c r="D55" i="1" s="1"/>
  <c r="E33" i="21"/>
  <c r="E25" i="21"/>
  <c r="I9" i="4"/>
  <c r="I10" i="4" s="1"/>
  <c r="E34" i="33"/>
  <c r="C20" i="27" s="1"/>
  <c r="C26" i="27" s="1"/>
  <c r="E26" i="33"/>
  <c r="E38" i="21"/>
  <c r="B21" i="27" s="1"/>
  <c r="E30" i="21"/>
  <c r="H9" i="4"/>
  <c r="H10" i="4" s="1"/>
  <c r="E36" i="21"/>
  <c r="E28" i="21"/>
  <c r="E31" i="1"/>
  <c r="D49" i="1" s="1"/>
  <c r="E36" i="33"/>
  <c r="E28" i="33"/>
  <c r="E37" i="21"/>
  <c r="E29" i="21"/>
  <c r="E27" i="33"/>
  <c r="E35" i="33"/>
  <c r="E25" i="20"/>
  <c r="D43" i="20" s="1"/>
  <c r="E33" i="20"/>
  <c r="D51" i="20" s="1"/>
  <c r="E37" i="33"/>
  <c r="E29" i="33"/>
  <c r="E39" i="21"/>
  <c r="E31" i="21"/>
  <c r="I3" i="4"/>
  <c r="I8" i="4" s="1"/>
  <c r="H3" i="4"/>
  <c r="H8" i="4" s="1"/>
  <c r="E8" i="4"/>
  <c r="E8" i="8"/>
  <c r="D9" i="8"/>
  <c r="E30" i="20" l="1"/>
  <c r="D48" i="20" s="1"/>
  <c r="E28" i="20"/>
  <c r="D46" i="20" s="1"/>
  <c r="F46" i="20" s="1"/>
  <c r="E37" i="20"/>
  <c r="D55" i="20" s="1"/>
  <c r="F55" i="20" s="1"/>
  <c r="E34" i="1"/>
  <c r="C9" i="8"/>
  <c r="A10" i="8"/>
  <c r="B9" i="8"/>
  <c r="F9" i="8" s="1"/>
  <c r="G9" i="8" s="1"/>
  <c r="H9" i="8" s="1"/>
  <c r="E27" i="20"/>
  <c r="D45" i="20" s="1"/>
  <c r="F45" i="20" s="1"/>
  <c r="E39" i="20"/>
  <c r="D57" i="20" s="1"/>
  <c r="B37" i="27" s="1"/>
  <c r="A16" i="25" s="1"/>
  <c r="E26" i="20"/>
  <c r="D44" i="20" s="1"/>
  <c r="F44" i="20" s="1"/>
  <c r="E29" i="1"/>
  <c r="D47" i="1" s="1"/>
  <c r="F47" i="1" s="1"/>
  <c r="E38" i="1"/>
  <c r="E30" i="1"/>
  <c r="D48" i="1" s="1"/>
  <c r="E25" i="1"/>
  <c r="D43" i="1" s="1"/>
  <c r="E33" i="1"/>
  <c r="D51" i="1" s="1"/>
  <c r="D20" i="27"/>
  <c r="D26" i="27" s="1"/>
  <c r="E27" i="1"/>
  <c r="D45" i="1" s="1"/>
  <c r="F45" i="1" s="1"/>
  <c r="E35" i="1"/>
  <c r="D53" i="1" s="1"/>
  <c r="E36" i="1"/>
  <c r="D54" i="1" s="1"/>
  <c r="F54" i="1" s="1"/>
  <c r="C15" i="24"/>
  <c r="C17" i="24" s="1"/>
  <c r="F48" i="20"/>
  <c r="F49" i="20"/>
  <c r="D54" i="20"/>
  <c r="F37" i="34"/>
  <c r="F51" i="1"/>
  <c r="D52" i="20"/>
  <c r="C22" i="27"/>
  <c r="C28" i="27" s="1"/>
  <c r="D52" i="1"/>
  <c r="B22" i="27"/>
  <c r="B42" i="27"/>
  <c r="F53" i="1"/>
  <c r="B33" i="27"/>
  <c r="A12" i="25" s="1"/>
  <c r="F57" i="1"/>
  <c r="D56" i="1"/>
  <c r="B23" i="27"/>
  <c r="F46" i="1"/>
  <c r="D56" i="20"/>
  <c r="C23" i="27"/>
  <c r="C29" i="27" s="1"/>
  <c r="D10" i="8"/>
  <c r="E9" i="8"/>
  <c r="F55" i="1"/>
  <c r="D21" i="27"/>
  <c r="B27" i="27"/>
  <c r="F52" i="20" l="1"/>
  <c r="F54" i="20"/>
  <c r="F51" i="20"/>
  <c r="B46" i="27"/>
  <c r="B35" i="27"/>
  <c r="A14" i="25" s="1"/>
  <c r="C14" i="25" s="1"/>
  <c r="F57" i="20"/>
  <c r="B44" i="27"/>
  <c r="F56" i="20"/>
  <c r="F53" i="20"/>
  <c r="F49" i="1"/>
  <c r="A11" i="8"/>
  <c r="C10" i="8"/>
  <c r="B10" i="8"/>
  <c r="F10" i="8" s="1"/>
  <c r="G10" i="8" s="1"/>
  <c r="H10" i="8" s="1"/>
  <c r="F44" i="1"/>
  <c r="C11" i="24"/>
  <c r="C12" i="24" s="1"/>
  <c r="D37" i="8"/>
  <c r="F48" i="1"/>
  <c r="C22" i="24"/>
  <c r="C25" i="24" s="1"/>
  <c r="K7" i="27"/>
  <c r="F2" i="4"/>
  <c r="F6" i="4" s="1"/>
  <c r="B34" i="27"/>
  <c r="A13" i="25" s="1"/>
  <c r="C13" i="25" s="1"/>
  <c r="B43" i="27"/>
  <c r="C16" i="25"/>
  <c r="D16" i="25"/>
  <c r="E16" i="25"/>
  <c r="B16" i="25"/>
  <c r="F37" i="27" s="1"/>
  <c r="F46" i="27" s="1"/>
  <c r="F16" i="25"/>
  <c r="C12" i="25"/>
  <c r="D12" i="25"/>
  <c r="E12" i="25"/>
  <c r="B12" i="25"/>
  <c r="F33" i="27" s="1"/>
  <c r="F42" i="27" s="1"/>
  <c r="F12" i="25"/>
  <c r="D27" i="27"/>
  <c r="K8" i="27" s="1"/>
  <c r="G2" i="4"/>
  <c r="B36" i="27"/>
  <c r="A15" i="25" s="1"/>
  <c r="B45" i="27"/>
  <c r="F56" i="1"/>
  <c r="D22" i="27"/>
  <c r="B28" i="27"/>
  <c r="F52" i="1"/>
  <c r="B41" i="27"/>
  <c r="B32" i="27"/>
  <c r="A11" i="25" s="1"/>
  <c r="D11" i="8"/>
  <c r="E10" i="8"/>
  <c r="D23" i="27"/>
  <c r="B29" i="27"/>
  <c r="B14" i="25" l="1"/>
  <c r="F35" i="27" s="1"/>
  <c r="F44" i="27" s="1"/>
  <c r="D14" i="25"/>
  <c r="E14" i="25"/>
  <c r="F14" i="25"/>
  <c r="C11" i="8"/>
  <c r="A12" i="8"/>
  <c r="B11" i="8"/>
  <c r="F4" i="4"/>
  <c r="F7" i="4"/>
  <c r="F13" i="25"/>
  <c r="B13" i="25"/>
  <c r="F34" i="27" s="1"/>
  <c r="F43" i="27" s="1"/>
  <c r="E13" i="25"/>
  <c r="C18" i="24"/>
  <c r="C21" i="24" s="1"/>
  <c r="K6" i="27"/>
  <c r="F3" i="4"/>
  <c r="F5" i="4"/>
  <c r="D13" i="25"/>
  <c r="D15" i="25"/>
  <c r="E15" i="25"/>
  <c r="B15" i="25"/>
  <c r="F36" i="27" s="1"/>
  <c r="F45" i="27" s="1"/>
  <c r="F15" i="25"/>
  <c r="C15" i="25"/>
  <c r="D11" i="25"/>
  <c r="E11" i="25"/>
  <c r="B11" i="25"/>
  <c r="F32" i="27" s="1"/>
  <c r="F41" i="27" s="1"/>
  <c r="F11" i="25"/>
  <c r="C11" i="25"/>
  <c r="D28" i="27"/>
  <c r="K9" i="27" s="1"/>
  <c r="J2" i="4"/>
  <c r="G4" i="4"/>
  <c r="G6" i="4"/>
  <c r="G7" i="4"/>
  <c r="G5" i="4"/>
  <c r="G3" i="4"/>
  <c r="D29" i="27"/>
  <c r="K2" i="4"/>
  <c r="E11" i="8"/>
  <c r="D12" i="8"/>
  <c r="F11" i="8"/>
  <c r="G11" i="8" s="1"/>
  <c r="H11" i="8" s="1"/>
  <c r="B12" i="8" l="1"/>
  <c r="A13" i="8"/>
  <c r="C12" i="8"/>
  <c r="F12" i="8" s="1"/>
  <c r="G12" i="8" s="1"/>
  <c r="H12" i="8" s="1"/>
  <c r="F9" i="4"/>
  <c r="F10" i="4" s="1"/>
  <c r="F20" i="27" s="1"/>
  <c r="F26" i="27" s="1"/>
  <c r="E25" i="24" s="1"/>
  <c r="F8" i="4"/>
  <c r="E21" i="24"/>
  <c r="N6" i="27"/>
  <c r="K6" i="4"/>
  <c r="K7" i="4"/>
  <c r="K5" i="4"/>
  <c r="K4" i="4"/>
  <c r="K3" i="4"/>
  <c r="G8" i="4"/>
  <c r="G9" i="4"/>
  <c r="J6" i="4"/>
  <c r="J5" i="4"/>
  <c r="J4" i="4"/>
  <c r="J7" i="4"/>
  <c r="J3" i="4"/>
  <c r="D13" i="8"/>
  <c r="E12" i="8"/>
  <c r="N7" i="27" l="1"/>
  <c r="C13" i="8"/>
  <c r="B13" i="8"/>
  <c r="A14" i="8"/>
  <c r="K8" i="4"/>
  <c r="J9" i="4"/>
  <c r="J10" i="4" s="1"/>
  <c r="F22" i="27" s="1"/>
  <c r="J8" i="4"/>
  <c r="G10" i="4"/>
  <c r="F21" i="27" s="1"/>
  <c r="K9" i="4"/>
  <c r="K10" i="4" s="1"/>
  <c r="F23" i="27" s="1"/>
  <c r="F29" i="27" s="1"/>
  <c r="D14" i="8"/>
  <c r="F13" i="8"/>
  <c r="G13" i="8" s="1"/>
  <c r="H13" i="8" s="1"/>
  <c r="E13" i="8"/>
  <c r="C14" i="8" l="1"/>
  <c r="A15" i="8"/>
  <c r="B14" i="8"/>
  <c r="F27" i="27"/>
  <c r="N8" i="27"/>
  <c r="F28" i="27"/>
  <c r="N9" i="27"/>
  <c r="E14" i="8"/>
  <c r="F14" i="8"/>
  <c r="G14" i="8" s="1"/>
  <c r="H14" i="8" s="1"/>
  <c r="D15" i="8"/>
  <c r="B15" i="8" l="1"/>
  <c r="A16" i="8"/>
  <c r="C15" i="8"/>
  <c r="F15" i="8" s="1"/>
  <c r="G15" i="8" s="1"/>
  <c r="H15" i="8" s="1"/>
  <c r="E15" i="8"/>
  <c r="D16" i="8"/>
  <c r="B16" i="8" l="1"/>
  <c r="A17" i="8"/>
  <c r="C16" i="8"/>
  <c r="F16" i="8" s="1"/>
  <c r="G16" i="8" s="1"/>
  <c r="H16" i="8" s="1"/>
  <c r="D17" i="8"/>
  <c r="E16" i="8"/>
  <c r="A18" i="8" l="1"/>
  <c r="C17" i="8"/>
  <c r="B17" i="8"/>
  <c r="F17" i="8" s="1"/>
  <c r="G17" i="8" s="1"/>
  <c r="H17" i="8" s="1"/>
  <c r="D18" i="8"/>
  <c r="E17" i="8"/>
  <c r="A19" i="8" l="1"/>
  <c r="B18" i="8"/>
  <c r="C18" i="8"/>
  <c r="F18" i="8" s="1"/>
  <c r="G18" i="8" s="1"/>
  <c r="H18" i="8" s="1"/>
  <c r="D19" i="8"/>
  <c r="E18" i="8"/>
  <c r="B19" i="8" l="1"/>
  <c r="C19" i="8"/>
  <c r="A20" i="8"/>
  <c r="D20" i="8"/>
  <c r="F19" i="8"/>
  <c r="G19" i="8" s="1"/>
  <c r="H19" i="8" s="1"/>
  <c r="E19" i="8"/>
  <c r="A21" i="8" l="1"/>
  <c r="B20" i="8"/>
  <c r="C20" i="8"/>
  <c r="F20" i="8" s="1"/>
  <c r="G20" i="8" s="1"/>
  <c r="H20" i="8" s="1"/>
  <c r="D21" i="8"/>
  <c r="E20" i="8"/>
  <c r="B21" i="8" l="1"/>
  <c r="A22" i="8"/>
  <c r="C21" i="8"/>
  <c r="F21" i="8" s="1"/>
  <c r="G21" i="8" s="1"/>
  <c r="H21" i="8" s="1"/>
  <c r="E21" i="8"/>
  <c r="D22" i="8"/>
  <c r="B22" i="8" l="1"/>
  <c r="A23" i="8"/>
  <c r="C22" i="8"/>
  <c r="F22" i="8"/>
  <c r="G22" i="8" s="1"/>
  <c r="H22" i="8" s="1"/>
  <c r="D23" i="8"/>
  <c r="E22" i="8"/>
  <c r="C23" i="8" l="1"/>
  <c r="B23" i="8"/>
  <c r="A24" i="8"/>
  <c r="F23" i="8"/>
  <c r="G23" i="8" s="1"/>
  <c r="H23" i="8" s="1"/>
  <c r="E23" i="8"/>
  <c r="D24" i="8"/>
  <c r="A25" i="8" l="1"/>
  <c r="B24" i="8"/>
  <c r="C24" i="8"/>
  <c r="F24" i="8" s="1"/>
  <c r="G24" i="8" s="1"/>
  <c r="H24" i="8" s="1"/>
  <c r="E24" i="8"/>
  <c r="D25" i="8"/>
  <c r="A26" i="8" l="1"/>
  <c r="B25" i="8"/>
  <c r="F25" i="8" s="1"/>
  <c r="G25" i="8" s="1"/>
  <c r="H25" i="8" s="1"/>
  <c r="C25" i="8"/>
  <c r="E25" i="8"/>
  <c r="D26" i="8"/>
  <c r="B26" i="8" l="1"/>
  <c r="C26" i="8"/>
  <c r="A27" i="8"/>
  <c r="D27" i="8"/>
  <c r="E26" i="8"/>
  <c r="F26" i="8"/>
  <c r="G26" i="8" s="1"/>
  <c r="H26" i="8" s="1"/>
  <c r="C27" i="8" l="1"/>
  <c r="A28" i="8"/>
  <c r="B27" i="8"/>
  <c r="F27" i="8" s="1"/>
  <c r="G27" i="8" s="1"/>
  <c r="H27" i="8" s="1"/>
  <c r="E27" i="8"/>
  <c r="D28" i="8"/>
  <c r="C28" i="8" l="1"/>
  <c r="A29" i="8"/>
  <c r="B28" i="8"/>
  <c r="F28" i="8" s="1"/>
  <c r="G28" i="8" s="1"/>
  <c r="H28" i="8" s="1"/>
  <c r="D29" i="8"/>
  <c r="E28" i="8"/>
  <c r="B29" i="8" l="1"/>
  <c r="C29" i="8"/>
  <c r="D30" i="8"/>
  <c r="F29" i="8"/>
  <c r="G29" i="8" s="1"/>
  <c r="H29" i="8" s="1"/>
  <c r="E29" i="8"/>
  <c r="D31" i="8" l="1"/>
  <c r="F30" i="8"/>
  <c r="G30" i="8" s="1"/>
  <c r="H30" i="8" s="1"/>
  <c r="E30" i="8"/>
  <c r="F31" i="8" l="1"/>
  <c r="G31" i="8" s="1"/>
  <c r="H31" i="8" s="1"/>
  <c r="E31" i="8"/>
  <c r="D32" i="8"/>
  <c r="F32" i="8" l="1"/>
  <c r="G32" i="8" s="1"/>
  <c r="H32" i="8" s="1"/>
  <c r="E32" i="8"/>
  <c r="D33" i="8"/>
  <c r="F33" i="8" l="1"/>
  <c r="G33" i="8" s="1"/>
  <c r="H33" i="8" s="1"/>
  <c r="D34" i="8"/>
  <c r="E33" i="8"/>
  <c r="F34" i="8" l="1"/>
  <c r="G34" i="8" s="1"/>
  <c r="H34" i="8" s="1"/>
  <c r="E34" i="8"/>
  <c r="D35" i="8"/>
  <c r="F35" i="8" l="1"/>
  <c r="G35" i="8" s="1"/>
  <c r="H35" i="8" s="1"/>
  <c r="E35" i="8"/>
  <c r="D36" i="8"/>
  <c r="F36" i="8" l="1"/>
  <c r="G36" i="8" s="1"/>
  <c r="H36" i="8" s="1"/>
  <c r="E36" i="8"/>
  <c r="D38" i="8" l="1"/>
  <c r="F37" i="8"/>
  <c r="G37" i="8" s="1"/>
  <c r="H37" i="8" s="1"/>
  <c r="G12" i="24" s="1"/>
  <c r="K12" i="24" s="1"/>
  <c r="E37" i="8"/>
  <c r="D39" i="8" l="1"/>
  <c r="F38" i="8"/>
  <c r="G38" i="8" s="1"/>
  <c r="H38" i="8" s="1"/>
  <c r="E38" i="8"/>
  <c r="D40" i="8" l="1"/>
  <c r="E39" i="8"/>
  <c r="F39" i="8"/>
  <c r="G39" i="8" s="1"/>
  <c r="H39" i="8" s="1"/>
  <c r="F40" i="8" l="1"/>
  <c r="G40" i="8" s="1"/>
  <c r="H40" i="8" s="1"/>
  <c r="D41" i="8"/>
  <c r="E40" i="8"/>
  <c r="F41" i="8" l="1"/>
  <c r="G41" i="8" s="1"/>
  <c r="H41" i="8" s="1"/>
  <c r="E41" i="8"/>
</calcChain>
</file>

<file path=xl/sharedStrings.xml><?xml version="1.0" encoding="utf-8"?>
<sst xmlns="http://schemas.openxmlformats.org/spreadsheetml/2006/main" count="951" uniqueCount="360">
  <si>
    <t>Gravel</t>
  </si>
  <si>
    <t>Sand</t>
  </si>
  <si>
    <t>Anthracite</t>
  </si>
  <si>
    <t>Depth (ft)</t>
  </si>
  <si>
    <t>Void Space (ft^3/ft^2)</t>
  </si>
  <si>
    <t>Void Vol (gal/sf)</t>
  </si>
  <si>
    <t>Totals:</t>
  </si>
  <si>
    <t>Media:</t>
  </si>
  <si>
    <t>Density</t>
  </si>
  <si>
    <t>GAC</t>
  </si>
  <si>
    <t>Garnet</t>
  </si>
  <si>
    <t>1.3-1.5</t>
  </si>
  <si>
    <t>3.6-4.2</t>
  </si>
  <si>
    <t>.42-.47</t>
  </si>
  <si>
    <t>.56-.60</t>
  </si>
  <si>
    <t>ES</t>
  </si>
  <si>
    <t>.4-.45</t>
  </si>
  <si>
    <t>.5-.55</t>
  </si>
  <si>
    <t>1.3-1.8</t>
  </si>
  <si>
    <t>2.55-2.65</t>
  </si>
  <si>
    <t>1.5-1.75</t>
  </si>
  <si>
    <t>4-4.3</t>
  </si>
  <si>
    <t>.4-.55</t>
  </si>
  <si>
    <t>6-12"</t>
  </si>
  <si>
    <t>18-30"</t>
  </si>
  <si>
    <t>.8-1.1</t>
  </si>
  <si>
    <t>4-6'</t>
  </si>
  <si>
    <t xml:space="preserve">1.2-1.3 </t>
  </si>
  <si>
    <t>Ratio to 20 C</t>
  </si>
  <si>
    <t>gpm</t>
  </si>
  <si>
    <t>sq. ft.</t>
  </si>
  <si>
    <t>Recommended Wash Rates (1.3*Vmf)</t>
  </si>
  <si>
    <t>Filter area :</t>
  </si>
  <si>
    <t>GPM to GPM/SF to GPM Conversion Table</t>
  </si>
  <si>
    <t>Uniformity Coefficient (UC)</t>
  </si>
  <si>
    <t>CONSTANTS:</t>
  </si>
  <si>
    <t>mu (dynamic viscosity) mPa*s</t>
  </si>
  <si>
    <t>rho  (density) g/cm^3</t>
  </si>
  <si>
    <t>d-90 size</t>
  </si>
  <si>
    <t>Effective Size (ES) (d-10)</t>
  </si>
  <si>
    <t>Temp. (C)</t>
  </si>
  <si>
    <t>Input Parameters</t>
  </si>
  <si>
    <t>Dynamic Viscosity</t>
  </si>
  <si>
    <t>Recommended Backwash Rate ===&gt;</t>
  </si>
  <si>
    <t>d-10 size</t>
  </si>
  <si>
    <r>
      <t xml:space="preserve">Recommended </t>
    </r>
    <r>
      <rPr>
        <b/>
        <sz val="10"/>
        <color indexed="10"/>
        <rFont val="Arial"/>
        <family val="2"/>
      </rPr>
      <t>Maximum</t>
    </r>
    <r>
      <rPr>
        <b/>
        <sz val="10"/>
        <rFont val="Arial"/>
        <family val="2"/>
      </rPr>
      <t xml:space="preserve"> ETSW Rate ========&gt;</t>
    </r>
  </si>
  <si>
    <r>
      <t xml:space="preserve">Recommended </t>
    </r>
    <r>
      <rPr>
        <b/>
        <sz val="10"/>
        <color indexed="10"/>
        <rFont val="Arial"/>
        <family val="2"/>
      </rPr>
      <t>Initial</t>
    </r>
    <r>
      <rPr>
        <b/>
        <sz val="10"/>
        <rFont val="Arial"/>
        <family val="2"/>
      </rPr>
      <t xml:space="preserve"> ETSW Rate ===========&gt;</t>
    </r>
  </si>
  <si>
    <t xml:space="preserve">*you may choose to average the sand and </t>
  </si>
  <si>
    <t>anthracite values for dual media filters, or you</t>
  </si>
  <si>
    <t>can choose the lowest value (to be on the safe</t>
  </si>
  <si>
    <t>side) and gradually work up from there to shorten</t>
  </si>
  <si>
    <t>the backwash duration.</t>
  </si>
  <si>
    <t>Open Washwater Drain Valve</t>
  </si>
  <si>
    <t xml:space="preserve">Air Off/ Close Air Valve </t>
  </si>
  <si>
    <t xml:space="preserve">If air scour or surface wash is used as the primary method of cleaning the filter and the </t>
  </si>
  <si>
    <t>fluidization step is mainly for removing the detached solids from the filter box, THEN shortening</t>
  </si>
  <si>
    <t>the duration of the fluidization step (from the non-ETSW procedure) may be most appropriate.</t>
  </si>
  <si>
    <t>NOTES ON ETSW IMPLEMENTATION:</t>
  </si>
  <si>
    <t>Typical values:  Use 100 to 200 gallons per square foot per backwash</t>
  </si>
  <si>
    <t>Backwash Rate (gpm/sf)</t>
  </si>
  <si>
    <t>Time for Rate to yield corresponding water use (minutes)</t>
  </si>
  <si>
    <t>Water Usage (gallons/sq.ft.):</t>
  </si>
  <si>
    <t>*The 100 gallons per sq. ft. per wash column is probably a good starting point for</t>
  </si>
  <si>
    <t>of water will be used for the ETSW step, low-rate washes, and transitionary flow</t>
  </si>
  <si>
    <t>between setpoints…</t>
  </si>
  <si>
    <t>a fluidization time when the ETSW procedure is used, since an additional volume</t>
  </si>
  <si>
    <t>** Depending on media size (thus fluidization velocity), the amount of freeboard</t>
  </si>
  <si>
    <t>in a particular filter design, the water temperature, and the presence of air scour</t>
  </si>
  <si>
    <t>backwashing or surface washing; adequate and optimal fluidization times can</t>
  </si>
  <si>
    <t>vary widely between facilities</t>
  </si>
  <si>
    <t>Media to overflow</t>
  </si>
  <si>
    <t>Units</t>
  </si>
  <si>
    <t>Value</t>
  </si>
  <si>
    <t>Calculated Parameter</t>
  </si>
  <si>
    <t xml:space="preserve">Value </t>
  </si>
  <si>
    <t>UC</t>
  </si>
  <si>
    <t>mm</t>
  </si>
  <si>
    <t>mu (g/cm s)</t>
  </si>
  <si>
    <t>g/cm^3</t>
  </si>
  <si>
    <t>Media density (rho-s)</t>
  </si>
  <si>
    <t>mu (0)</t>
  </si>
  <si>
    <t>mu (5)</t>
  </si>
  <si>
    <t>mu (10)</t>
  </si>
  <si>
    <t>mu (15)</t>
  </si>
  <si>
    <t>mu (20)</t>
  </si>
  <si>
    <t>mu (25)</t>
  </si>
  <si>
    <t>mu (30)</t>
  </si>
  <si>
    <t>rho (0)</t>
  </si>
  <si>
    <t>rho (5)</t>
  </si>
  <si>
    <t>rho (10)</t>
  </si>
  <si>
    <t>rho (15)</t>
  </si>
  <si>
    <t>rho (20)</t>
  </si>
  <si>
    <t>rho (25)</t>
  </si>
  <si>
    <t>rho (30)</t>
  </si>
  <si>
    <t>g/(cm)(s)</t>
  </si>
  <si>
    <t>acceleration due to gravity</t>
  </si>
  <si>
    <t>cm/s^2</t>
  </si>
  <si>
    <t>Galileo Number (0)</t>
  </si>
  <si>
    <t>Galileo Number (5)</t>
  </si>
  <si>
    <t>Galileo Number (15)</t>
  </si>
  <si>
    <t>Galileo Number (25)</t>
  </si>
  <si>
    <t>Galileo Number (10)</t>
  </si>
  <si>
    <t>Galileo Number (20)</t>
  </si>
  <si>
    <t>Galileo Number (30)</t>
  </si>
  <si>
    <t>Vmf (0)</t>
  </si>
  <si>
    <t>Vmf (5)</t>
  </si>
  <si>
    <t>Vmf (10)</t>
  </si>
  <si>
    <t>Vmf (15)</t>
  </si>
  <si>
    <t>Vmf (20)</t>
  </si>
  <si>
    <t>Vmf (25)</t>
  </si>
  <si>
    <t>Vmf (30)</t>
  </si>
  <si>
    <t>none</t>
  </si>
  <si>
    <t>cm/s</t>
  </si>
  <si>
    <t>CONVERTED UNITS:</t>
  </si>
  <si>
    <t>gpm/sf</t>
  </si>
  <si>
    <t>m/hr</t>
  </si>
  <si>
    <t>Filter Component</t>
  </si>
  <si>
    <t>Porosity</t>
  </si>
  <si>
    <t>Underdrain</t>
  </si>
  <si>
    <t>Potential Advantages of ETSW Procedure:</t>
  </si>
  <si>
    <t>8.  A tool for complying with Partnership for Safe Water program guidelines on turbidity</t>
  </si>
  <si>
    <t>9.  The production of safer and cleaner drinking water for consumers</t>
  </si>
  <si>
    <t>10. Actually makes the filter "look" clean before returning it to service</t>
  </si>
  <si>
    <t>Potential Disadvantages of ETSW Procedure:</t>
  </si>
  <si>
    <t>sand</t>
  </si>
  <si>
    <t>anthracite</t>
  </si>
  <si>
    <t>Freeboard (top of media to overflow)</t>
  </si>
  <si>
    <t>feet</t>
  </si>
  <si>
    <t>Parameter</t>
  </si>
  <si>
    <t>Description</t>
  </si>
  <si>
    <t>Media Density</t>
  </si>
  <si>
    <t>Recommended Initial ETSW rate</t>
  </si>
  <si>
    <t>Average</t>
  </si>
  <si>
    <t>ETSW Time</t>
  </si>
  <si>
    <t>minutes</t>
  </si>
  <si>
    <t xml:space="preserve">gpm </t>
  </si>
  <si>
    <t>Approximate</t>
  </si>
  <si>
    <t>Recommended Fluidization Rate</t>
  </si>
  <si>
    <t>Rate</t>
  </si>
  <si>
    <t>Temp.</t>
  </si>
  <si>
    <t>basis for flows</t>
  </si>
  <si>
    <t>filter at rest</t>
  </si>
  <si>
    <t>Water Temperature</t>
  </si>
  <si>
    <t>backwash water, with little concern</t>
  </si>
  <si>
    <t>The Extended Terminal Subfluidization Wash (ETSW) procedure was developed by Dr. James Amburgey</t>
  </si>
  <si>
    <t>*you may choose to exceed this value in favor of</t>
  </si>
  <si>
    <t>the Vmf for 25 degrees C during the summer</t>
  </si>
  <si>
    <t>months and then revert back to this value during</t>
  </si>
  <si>
    <t>the winter months.</t>
  </si>
  <si>
    <t>*lower backwash rates can be used</t>
  </si>
  <si>
    <t>when water is colder to conserve</t>
  </si>
  <si>
    <t>over decreasing cleaning efficiency</t>
  </si>
  <si>
    <t>*again, you can average values for sand and anthracite, or choose the higher value to be on the safe side</t>
  </si>
  <si>
    <t>ETSW-minimum (minutes):</t>
  </si>
  <si>
    <t>TYPICAL Media Values (Textbook):</t>
  </si>
  <si>
    <t>UC-deep bed:</t>
  </si>
  <si>
    <t>Depth-deep bed:</t>
  </si>
  <si>
    <t>Depth</t>
  </si>
  <si>
    <t>Start Time</t>
  </si>
  <si>
    <t>Action</t>
  </si>
  <si>
    <t>Duration</t>
  </si>
  <si>
    <t>Open Air Wash Valve</t>
  </si>
  <si>
    <t>Start Air Wash Blower</t>
  </si>
  <si>
    <t>Open Wash Water Valve</t>
  </si>
  <si>
    <t>Start Wash Water Pump</t>
  </si>
  <si>
    <t>spikes since the ETSW procedure does not remove ALL backwash remnant particles.  The proportion of remaining</t>
  </si>
  <si>
    <t xml:space="preserve">backwash remnant particles that return through the filter into the finished water will depend upon the charge (zeta potential) </t>
  </si>
  <si>
    <t>of the backwash remnant particles</t>
  </si>
  <si>
    <t>of backwash water throughout the entire filter bed</t>
  </si>
  <si>
    <t>5.  The optimality of the coagulation process also impacts the ETSW procedure and the resulting filter ripening turbidity</t>
  </si>
  <si>
    <t xml:space="preserve">2.  ETSW rate will change with water temperature just as fluidization rate does, and specific worksheets are devoted </t>
  </si>
  <si>
    <t xml:space="preserve">to the the temperature dependency of ETSW and Fluidization rates for two types of filter media (one of which will be the </t>
  </si>
  <si>
    <t>6.  Implementation of the ETSW procedure will require the use of some common sense and likely some trial and error</t>
  </si>
  <si>
    <t>Good Luck!</t>
  </si>
  <si>
    <t>Application Notes:</t>
  </si>
  <si>
    <r>
      <t xml:space="preserve">HOWEVER, </t>
    </r>
    <r>
      <rPr>
        <i/>
        <sz val="10"/>
        <color indexed="10"/>
        <rFont val="Arial"/>
        <family val="2"/>
      </rPr>
      <t>if fluidization is the primary means of cleaning the filter, then shortening the duration</t>
    </r>
  </si>
  <si>
    <t>*Many helpful comments are provided in red text throughout the spreadsheet</t>
  </si>
  <si>
    <r>
      <t>*Most calculated values appear in blue text (</t>
    </r>
    <r>
      <rPr>
        <i/>
        <sz val="10"/>
        <color indexed="12"/>
        <rFont val="Arial"/>
        <family val="2"/>
      </rPr>
      <t>metric</t>
    </r>
    <r>
      <rPr>
        <i/>
        <sz val="10"/>
        <color indexed="18"/>
        <rFont val="Arial"/>
        <family val="2"/>
      </rPr>
      <t xml:space="preserve"> and english units are sometimes both provided)</t>
    </r>
  </si>
  <si>
    <t>Flow rate reaches set point</t>
  </si>
  <si>
    <t>Media transitions to fluidized bed</t>
  </si>
  <si>
    <t xml:space="preserve">of the fluidization step may NOT be appropriate as the cleaning efficiency may suffer.  In this case, </t>
  </si>
  <si>
    <t>simply add the ETSW step to the end of the original backwash procedure.</t>
  </si>
  <si>
    <t>2.  Reduction or elimination of the need for filter-to-waste (or rewash)</t>
  </si>
  <si>
    <t>1.  Reduction in backwash water usage</t>
  </si>
  <si>
    <t>3.  Improves visual observation of the filter media and structures</t>
  </si>
  <si>
    <t>4.  Reduction or elimination of the degraded filtered water quality during the filter ripening period</t>
  </si>
  <si>
    <t>4.  ETSW times will change based on the ETSW rate, the amount of dispersion that occurs, and the uneven distribution</t>
  </si>
  <si>
    <t>both the data provided by the user and some typical values (that are already stored in the spreadsheet)</t>
  </si>
  <si>
    <t>limiting case)  ETSW is often limited by the lower of the two values and fluidization by the higher value of the two</t>
  </si>
  <si>
    <t>1.  Read the sheet titled "Application Notes" carefully.</t>
  </si>
  <si>
    <t xml:space="preserve">     coldest water temperature encountered by your utility.  It is possible to change ETSW rates seasonally as the</t>
  </si>
  <si>
    <t xml:space="preserve">     viscosity of the water changes, and the same type of change is recommended for the fluidization stage of backwashing.</t>
  </si>
  <si>
    <t xml:space="preserve">     your way upward to decrease the total duration of the ETSW procedure.</t>
  </si>
  <si>
    <t>7.  Individual parts of this spreadsheet are designated for determining the minimum fluidization velocity of the smallest and</t>
  </si>
  <si>
    <t xml:space="preserve">     largest sizes of media grains contained within a filter.  Two sheets are included for calculating parameters for 2 types </t>
  </si>
  <si>
    <t xml:space="preserve">     of filter media.  The smallest grains of both medias NOT being fluidized is important to the ETSW process, and the  </t>
  </si>
  <si>
    <t xml:space="preserve">     largest grains of both types of media BEING fluidized is important to fluidization stage of backwashing</t>
  </si>
  <si>
    <t>Dr. Amburgey may be contacted to consult on projects involving the ETSW procedure via the information below:</t>
  </si>
  <si>
    <t>Water Treatment Research, Inc.</t>
  </si>
  <si>
    <t>3.  ETSW rates also depend on the strength of the floc, so what works well at one facility may not work well at a similar</t>
  </si>
  <si>
    <t>facility (even if both facilities have the same media design and water temperature)</t>
  </si>
  <si>
    <t>SOFTWARE INSTRUCTIONS:</t>
  </si>
  <si>
    <t>recent research findings regarding the ETSW procedure and related topics.</t>
  </si>
  <si>
    <t>Garnet**</t>
  </si>
  <si>
    <t>.2-.3</t>
  </si>
  <si>
    <t>http://www.northerngravel.com/products.html</t>
  </si>
  <si>
    <t>1.5-1.8</t>
  </si>
  <si>
    <t>.45-.55</t>
  </si>
  <si>
    <t>http://www.usace.army.mil/publications/eng-tech-ltrs/etl1110-1-159/a-iii.pdf</t>
  </si>
  <si>
    <t>**Source: Internet websites:</t>
  </si>
  <si>
    <t>others as references</t>
  </si>
  <si>
    <t>Illmenite</t>
  </si>
  <si>
    <t>4.2-4.6</t>
  </si>
  <si>
    <t>1.45-1.73</t>
  </si>
  <si>
    <t>--</t>
  </si>
  <si>
    <t>4"</t>
  </si>
  <si>
    <t>*User Input parameters are typically in green text throughout with yellow backgrounds</t>
  </si>
  <si>
    <t>SUMMARY INFORMATION: (please scroll down)</t>
  </si>
  <si>
    <t>&lt;==User Input Values</t>
  </si>
  <si>
    <r>
      <t xml:space="preserve">Detention Time at: </t>
    </r>
    <r>
      <rPr>
        <b/>
        <sz val="10"/>
        <color indexed="17"/>
        <rFont val="Arial"/>
        <family val="2"/>
      </rPr>
      <t>X</t>
    </r>
    <r>
      <rPr>
        <b/>
        <sz val="10"/>
        <rFont val="Arial"/>
        <family val="2"/>
      </rPr>
      <t xml:space="preserve"> (gpm/sf)</t>
    </r>
  </si>
  <si>
    <t>Software is provided as a courtesy of:</t>
  </si>
  <si>
    <t>LEGAL DISCLAIMER:</t>
  </si>
  <si>
    <t>Close Filter Influent Valve</t>
  </si>
  <si>
    <t>Drop water level in filter to 6" above the media</t>
  </si>
  <si>
    <t>Close Filter Effluent Valve</t>
  </si>
  <si>
    <t>Media transitions to fixed bed</t>
  </si>
  <si>
    <t>Low rate wash</t>
  </si>
  <si>
    <t>Combined Air &amp; Water Wash</t>
  </si>
  <si>
    <t>Allow air bubbles to escape from the filter bed</t>
  </si>
  <si>
    <t>Close washwater valve and turn off pump</t>
  </si>
  <si>
    <t>Set washwater rate to 0 gpm</t>
  </si>
  <si>
    <t>Proceed to other bay of Filter or Refill and Restart</t>
  </si>
  <si>
    <t xml:space="preserve">1.  The "Data Required-Summary Page" is intended to provide some quick estimates of ETSW rates and times based on </t>
  </si>
  <si>
    <t>Software is provided for informational purposes only.  The resale of this software is prohibited.</t>
  </si>
  <si>
    <t>Always use good engineering judgement and common sense when modifying water treatment operations.</t>
  </si>
  <si>
    <t xml:space="preserve">You hereby agree to indemnify and hold harmless WTR, Inc. from and against any and all claims, charges, demands, damages, liabilities, losses, expenses, and liabilities of whatever nature and howsoever arising (including but not limited to any legal or </t>
  </si>
  <si>
    <t xml:space="preserve">other professional fees and the costs of defending or prosecuting any claim and any loss of profit, goodwill, and any other direct or consequential loss) incurred or suffered by WTR, Inc. directly or indirectly by reason of any act or omission which you commit </t>
  </si>
  <si>
    <t>in breach of these terms and conditions and the obligations and warranties contained in them.</t>
  </si>
  <si>
    <t>INDEMNIFICATION:</t>
  </si>
  <si>
    <t>Source: Water Treatment Plant Design, 3rd Ed. (1998)</t>
  </si>
  <si>
    <t>Source: Water Quality and Treatment, 5th Ed. (1999)</t>
  </si>
  <si>
    <t>5.  With the ETSW procedure, it is generally best to start at the lowest recommended ETSW rate and begin working</t>
  </si>
  <si>
    <t xml:space="preserve">6.  The lowest ETSW rate is the below the minimum fluidization velocity of the easiest to fluidize type of media at the </t>
  </si>
  <si>
    <t>8.  The "ETSW Time" portion of the spreadsheet shows all of the data necessary used to estimate the ETSW time.  Some</t>
  </si>
  <si>
    <t xml:space="preserve">     of these values are assumed as typical to simplify the use of this spreadsheet, but the values can be changed as </t>
  </si>
  <si>
    <t xml:space="preserve">     to better predict time.  The factor of safety is also optional and can be used or changed at your discretion</t>
  </si>
  <si>
    <r>
      <t xml:space="preserve">Source: Cleasby and Logsdon in </t>
    </r>
    <r>
      <rPr>
        <i/>
        <u/>
        <sz val="10"/>
        <rFont val="Arial"/>
        <family val="2"/>
      </rPr>
      <t>Water Quality and Treatment, 5th Ed.</t>
    </r>
  </si>
  <si>
    <t xml:space="preserve">9.  Some typical values, constants, conversion sheets, and a sample backwash protocol are also included for your </t>
  </si>
  <si>
    <t xml:space="preserve">     convenience.</t>
  </si>
  <si>
    <t>UNC Charlotte</t>
  </si>
  <si>
    <t>9201 University City Blvd.</t>
  </si>
  <si>
    <t>Charlotte, NC 28223-0001</t>
  </si>
  <si>
    <t>E-mail: jeamburg@uncc.edu</t>
  </si>
  <si>
    <t>L/s</t>
  </si>
  <si>
    <t>Ph. (704) 687-1214</t>
  </si>
  <si>
    <t>For example:</t>
  </si>
  <si>
    <t>1.7 (2.0)^2 + % V/(15) = 39.5</t>
  </si>
  <si>
    <t>1.7*4 + % V/15 =39.5</t>
  </si>
  <si>
    <t>6.8 + % V/15 = 39.5</t>
  </si>
  <si>
    <t>% V/15 = 39.5 - 6.8</t>
  </si>
  <si>
    <t xml:space="preserve">% V/15 = 32.7 </t>
  </si>
  <si>
    <t>V = 32.7 % * 15</t>
  </si>
  <si>
    <t>V = .327 * 15</t>
  </si>
  <si>
    <t>V = 4.91 gpm/ft^2</t>
  </si>
  <si>
    <t>4.91 gpm/ft^2</t>
  </si>
  <si>
    <t>Air Scour Backwashing Equations for Collapse Pulsing</t>
  </si>
  <si>
    <t>Source: Amirtharajah, 1991 (WaterRF Project Report)</t>
  </si>
  <si>
    <t>5.  Improves reducttion of pathogens from filters prior to restart</t>
  </si>
  <si>
    <t>6.  Decreases hydraulic loading of recycle streams</t>
  </si>
  <si>
    <t>7.  Could lengthen the life of backwash pumps and underdrain systems</t>
  </si>
  <si>
    <t>1.  Might require a few extra minutes to complete the backwash procedure</t>
  </si>
  <si>
    <t>2.  Could require the addition of a new step to the original backwash procedure</t>
  </si>
  <si>
    <t>Users accept full responsibility for all actions influenced by the use or misuse of this software.</t>
  </si>
  <si>
    <t>A dual media filter with a Vmf (d90) of 15 gpm/ft^2 and an air flow rate of 2 scfm/ft^2 would require a "V" (water flow rate for combined air/water wash) of:</t>
  </si>
  <si>
    <t>* Please check any peer-reviewed journals that you have access to for the most</t>
  </si>
  <si>
    <t>for your use!*</t>
  </si>
  <si>
    <t xml:space="preserve">during his Ph.D. Research at Georgia Tech under the guidance of Dr. Appiah Amirtharajah a very long time ago.  </t>
  </si>
  <si>
    <r>
      <t xml:space="preserve">ETSW (minutes) </t>
    </r>
    <r>
      <rPr>
        <sz val="10"/>
        <color indexed="18"/>
        <rFont val="Arial"/>
        <family val="2"/>
      </rPr>
      <t>with x1.3 factor to account for dispersion:</t>
    </r>
  </si>
  <si>
    <t>Max Recommended ETSW rate</t>
  </si>
  <si>
    <t>Minimum Rec. Fluidization</t>
  </si>
  <si>
    <t>Time</t>
  </si>
  <si>
    <t>Flow Rate</t>
  </si>
  <si>
    <t>Sample Calculation:</t>
  </si>
  <si>
    <t>scfm/sq ft</t>
  </si>
  <si>
    <t>V =</t>
  </si>
  <si>
    <t>scfm</t>
  </si>
  <si>
    <t>Set flow to:</t>
  </si>
  <si>
    <t>High Rate Fluidized Bed Backwash</t>
  </si>
  <si>
    <t>Set flow rate to:</t>
  </si>
  <si>
    <t>ETSW (Subfluidized Wash for 1 filter volume)</t>
  </si>
  <si>
    <r>
      <t>Effective Size (</t>
    </r>
    <r>
      <rPr>
        <b/>
        <sz val="11"/>
        <rFont val="Arial"/>
        <family val="2"/>
      </rPr>
      <t>ES</t>
    </r>
    <r>
      <rPr>
        <sz val="11"/>
        <rFont val="Arial"/>
        <family val="2"/>
      </rPr>
      <t>)</t>
    </r>
  </si>
  <si>
    <r>
      <t>Uniformity Coefficient (</t>
    </r>
    <r>
      <rPr>
        <b/>
        <sz val="11"/>
        <rFont val="Arial"/>
        <family val="2"/>
      </rPr>
      <t>UC</t>
    </r>
    <r>
      <rPr>
        <sz val="11"/>
        <rFont val="Arial"/>
        <family val="2"/>
      </rPr>
      <t>)</t>
    </r>
  </si>
  <si>
    <t>25:00</t>
  </si>
  <si>
    <t>Area (ft^2)</t>
  </si>
  <si>
    <t>Width (ft)</t>
  </si>
  <si>
    <t>Length (ft)</t>
  </si>
  <si>
    <t>Based on the information provided to the left:</t>
  </si>
  <si>
    <t>Your recommended initial fludization rate would be:</t>
  </si>
  <si>
    <t>This value could increase or decrease as water temperature and coagulation conditions vary.</t>
  </si>
  <si>
    <t>Your final value will depend on your filtered water turbidity during the ripening period relative to your goal.</t>
  </si>
  <si>
    <t>These values could be increased or decreased based on a solids retention analaysis of the media.</t>
  </si>
  <si>
    <t>Your final values should change with water temperature, but you could default to the maximum water temperature and let the bed expansion vary.</t>
  </si>
  <si>
    <t>Step #1, start with an ETSW (subfluidization) rate of:</t>
  </si>
  <si>
    <t>**Find a more optimal coagulant dose/pH combo when turbidity exceeds 0.10 NTU after 1 filter volume</t>
  </si>
  <si>
    <t>*Use a lower ETSW rate whenever filter ripening turbidity exceeds goal (or ~0.10 NTU)</t>
  </si>
  <si>
    <t>-ETSW and Fluidization rate values should both change signficantly with water temperature as indicated below</t>
  </si>
  <si>
    <r>
      <t xml:space="preserve">Media Depth </t>
    </r>
    <r>
      <rPr>
        <b/>
        <sz val="11"/>
        <rFont val="Arial"/>
        <family val="2"/>
      </rPr>
      <t>(D)</t>
    </r>
  </si>
  <si>
    <t>Surface Area of Filter (or one side)</t>
  </si>
  <si>
    <t>d60/d10</t>
  </si>
  <si>
    <t>sq. meters</t>
  </si>
  <si>
    <t>m/min</t>
  </si>
  <si>
    <t>ft/min</t>
  </si>
  <si>
    <t>Rise Rates</t>
  </si>
  <si>
    <t>Water level rise:</t>
  </si>
  <si>
    <t>ft</t>
  </si>
  <si>
    <t>Available:</t>
  </si>
  <si>
    <t>Remaining:</t>
  </si>
  <si>
    <t>2.  Collect the necessary data to fill in the greeen values on the "MAIN (START)+Summary" tab</t>
  </si>
  <si>
    <t>3.  Input the necessary data on the "MAIN (START)+Summary" tab              (yellow fields)</t>
  </si>
  <si>
    <r>
      <t xml:space="preserve">4.  Some initial recommendations are provided on the "MAIN (START)+Summary" tab     </t>
    </r>
    <r>
      <rPr>
        <sz val="10"/>
        <color rgb="FF0000FF"/>
        <rFont val="Arial"/>
        <family val="2"/>
      </rPr>
      <t>(blue fields)</t>
    </r>
  </si>
  <si>
    <r>
      <t>10.Any problems, questions, or suggestions can be directed to Dr. James Amburgey (</t>
    </r>
    <r>
      <rPr>
        <sz val="10"/>
        <color indexed="12"/>
        <rFont val="Arial"/>
        <family val="2"/>
      </rPr>
      <t>jeamburg@uncc.edu</t>
    </r>
    <r>
      <rPr>
        <sz val="10"/>
        <rFont val="Arial"/>
        <family val="2"/>
      </rPr>
      <t>)</t>
    </r>
  </si>
  <si>
    <t>Helpful Hint:  No values are hidden or protected, so be careful not to erroneosly change or delete any critical values</t>
  </si>
  <si>
    <t>pH</t>
  </si>
  <si>
    <r>
      <t>Temperature (</t>
    </r>
    <r>
      <rPr>
        <sz val="10"/>
        <rFont val="Calibri"/>
        <family val="2"/>
      </rPr>
      <t>°</t>
    </r>
    <r>
      <rPr>
        <sz val="10"/>
        <rFont val="Arial"/>
        <family val="2"/>
      </rPr>
      <t>C)</t>
    </r>
  </si>
  <si>
    <t>pKw</t>
  </si>
  <si>
    <t>pOH</t>
  </si>
  <si>
    <t>Neutral pH</t>
  </si>
  <si>
    <t>Constant pH of 7.5</t>
  </si>
  <si>
    <t>Constant pOH of 7.5</t>
  </si>
  <si>
    <t>Constant pH of 7.0</t>
  </si>
  <si>
    <t>Constant pOH of 7.0</t>
  </si>
  <si>
    <t>Constant pOH of 6.5</t>
  </si>
  <si>
    <t>James E. Amburgey, Ph.D., P.E.</t>
  </si>
  <si>
    <t>Dept. of Civil &amp; Environmental Engrg.</t>
  </si>
  <si>
    <t>Step #3, with ripening peaks &lt; 0.10 NTU, try ETSW up to:</t>
  </si>
  <si>
    <t>Step #2, with ripening peaks &lt; 0.10 NTU, try an ETSW of:</t>
  </si>
  <si>
    <t>&lt;==Initial Recommended ETSW Values (gpm/sf)</t>
  </si>
  <si>
    <t>&lt;==Initial Recommended ETSW Values (gpm)</t>
  </si>
  <si>
    <t>&lt;==Initial Recommended Hi-Rate (Fluidization) Backwashing Values (gpm/sf)</t>
  </si>
  <si>
    <t>&lt;==Initial Recommended Hi-Rate (Fluidization) Backwashing Values (gpm)</t>
  </si>
  <si>
    <t>Constant pOH (vs. pH 6.5 at 22° C)</t>
  </si>
  <si>
    <r>
      <t>Temperature (</t>
    </r>
    <r>
      <rPr>
        <sz val="10"/>
        <rFont val="Calibri"/>
        <family val="2"/>
      </rPr>
      <t>°</t>
    </r>
    <r>
      <rPr>
        <sz val="10"/>
        <rFont val="Arial"/>
        <family val="2"/>
      </rPr>
      <t>C)</t>
    </r>
  </si>
  <si>
    <t>Constant pH of 6.5 (relative to 22° C)</t>
  </si>
  <si>
    <t>for at least</t>
  </si>
  <si>
    <r>
      <rPr>
        <sz val="10"/>
        <color rgb="FF0000FF"/>
        <rFont val="Calibri"/>
        <family val="2"/>
      </rPr>
      <t>°</t>
    </r>
    <r>
      <rPr>
        <sz val="10"/>
        <color rgb="FF0000FF"/>
        <rFont val="Arial"/>
        <family val="2"/>
      </rPr>
      <t>C</t>
    </r>
  </si>
  <si>
    <r>
      <rPr>
        <sz val="11"/>
        <rFont val="Calibri"/>
        <family val="2"/>
      </rPr>
      <t>°</t>
    </r>
    <r>
      <rPr>
        <sz val="11"/>
        <rFont val="Arial"/>
        <family val="2"/>
      </rPr>
      <t>C</t>
    </r>
  </si>
  <si>
    <t>Vmf (5°C)</t>
  </si>
  <si>
    <t>Vmf (10°C)</t>
  </si>
  <si>
    <t>Vmf (15°C)</t>
  </si>
  <si>
    <t>Vmf (20°C)</t>
  </si>
  <si>
    <t>Vmf (25°C)</t>
  </si>
  <si>
    <t>Vmf (30°C)</t>
  </si>
  <si>
    <t>Vmf (0°C)</t>
  </si>
  <si>
    <r>
      <t>For your dual media filter at 15</t>
    </r>
    <r>
      <rPr>
        <sz val="10"/>
        <rFont val="Calibri"/>
        <family val="2"/>
      </rPr>
      <t>°</t>
    </r>
    <r>
      <rPr>
        <sz val="10"/>
        <rFont val="Arial"/>
        <family val="2"/>
      </rPr>
      <t>C, with an air flow rate of:</t>
    </r>
  </si>
  <si>
    <t>(water flow rate)</t>
  </si>
  <si>
    <r>
      <t>Temperature (</t>
    </r>
    <r>
      <rPr>
        <sz val="10"/>
        <rFont val="Calibri"/>
        <family val="2"/>
      </rPr>
      <t>°</t>
    </r>
    <r>
      <rPr>
        <sz val="10"/>
        <rFont val="Arial"/>
      </rPr>
      <t>C)</t>
    </r>
  </si>
  <si>
    <t>Good idea!</t>
  </si>
  <si>
    <t>Bad idea!</t>
  </si>
  <si>
    <r>
      <t>Reasonable Initial ETSW rate (25</t>
    </r>
    <r>
      <rPr>
        <sz val="10"/>
        <rFont val="Calibri"/>
        <family val="2"/>
      </rPr>
      <t>°</t>
    </r>
    <r>
      <rPr>
        <sz val="10"/>
        <rFont val="Arial"/>
      </rPr>
      <t xml:space="preserve"> C)</t>
    </r>
  </si>
  <si>
    <r>
      <t>Absolute Maximum ETSW rate (25</t>
    </r>
    <r>
      <rPr>
        <sz val="10"/>
        <rFont val="Calibri"/>
        <family val="2"/>
      </rPr>
      <t>°</t>
    </r>
    <r>
      <rPr>
        <sz val="10"/>
        <rFont val="Arial"/>
      </rPr>
      <t xml:space="preserve"> 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</si>
</sst>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9" x14ac:knownFonts="1">
    <font>
      <sz val="10"/>
      <name val="Arial"/>
    </font>
    <font>
      <sz val="10"/>
      <color indexed="10"/>
      <name val="Arial"/>
      <family val="2"/>
    </font>
    <font>
      <sz val="10"/>
      <color indexed="12"/>
      <name val="Arial"/>
      <family val="2"/>
    </font>
    <font>
      <sz val="10"/>
      <name val="Arial"/>
      <family val="2"/>
    </font>
    <font>
      <sz val="10"/>
      <color indexed="17"/>
      <name val="Arial"/>
      <family val="2"/>
    </font>
    <font>
      <b/>
      <sz val="10"/>
      <color indexed="17"/>
      <name val="Arial"/>
      <family val="2"/>
    </font>
    <font>
      <b/>
      <sz val="10"/>
      <name val="Arial"/>
      <family val="2"/>
    </font>
    <font>
      <i/>
      <sz val="10"/>
      <name val="Arial"/>
      <family val="2"/>
    </font>
    <font>
      <b/>
      <sz val="12"/>
      <name val="Arial"/>
      <family val="2"/>
    </font>
    <font>
      <sz val="10"/>
      <color indexed="16"/>
      <name val="Arial"/>
      <family val="2"/>
    </font>
    <font>
      <b/>
      <sz val="10"/>
      <color indexed="16"/>
      <name val="Arial"/>
      <family val="2"/>
    </font>
    <font>
      <b/>
      <sz val="10"/>
      <color indexed="10"/>
      <name val="Arial"/>
      <family val="2"/>
    </font>
    <font>
      <b/>
      <sz val="10"/>
      <color indexed="12"/>
      <name val="Arial"/>
      <family val="2"/>
    </font>
    <font>
      <b/>
      <sz val="10"/>
      <color indexed="8"/>
      <name val="Arial"/>
      <family val="2"/>
    </font>
    <font>
      <i/>
      <sz val="10"/>
      <color indexed="10"/>
      <name val="Arial"/>
      <family val="2"/>
    </font>
    <font>
      <sz val="10"/>
      <color indexed="8"/>
      <name val="Arial"/>
      <family val="2"/>
    </font>
    <font>
      <i/>
      <sz val="10"/>
      <color indexed="17"/>
      <name val="Arial"/>
      <family val="2"/>
    </font>
    <font>
      <b/>
      <sz val="10"/>
      <color indexed="18"/>
      <name val="Arial"/>
      <family val="2"/>
    </font>
    <font>
      <sz val="10"/>
      <color indexed="18"/>
      <name val="Arial"/>
      <family val="2"/>
    </font>
    <font>
      <i/>
      <sz val="10"/>
      <color indexed="18"/>
      <name val="Arial"/>
      <family val="2"/>
    </font>
    <font>
      <i/>
      <sz val="10"/>
      <color indexed="12"/>
      <name val="Arial"/>
      <family val="2"/>
    </font>
    <font>
      <i/>
      <u/>
      <sz val="10"/>
      <name val="Arial"/>
      <family val="2"/>
    </font>
    <font>
      <b/>
      <sz val="10"/>
      <color indexed="23"/>
      <name val="Arial"/>
      <family val="2"/>
    </font>
    <font>
      <sz val="10"/>
      <color indexed="23"/>
      <name val="Arial"/>
      <family val="2"/>
    </font>
    <font>
      <sz val="8"/>
      <name val="Arial"/>
      <family val="2"/>
    </font>
    <font>
      <sz val="8"/>
      <name val="Arial"/>
      <family val="2"/>
    </font>
    <font>
      <b/>
      <sz val="8"/>
      <name val="Arial"/>
      <family val="2"/>
    </font>
    <font>
      <sz val="10"/>
      <color indexed="9"/>
      <name val="Arial"/>
      <family val="2"/>
    </font>
    <font>
      <sz val="18"/>
      <name val="Arial"/>
      <family val="2"/>
    </font>
    <font>
      <sz val="10"/>
      <color rgb="FF0000FF"/>
      <name val="Arial"/>
      <family val="2"/>
    </font>
    <font>
      <b/>
      <sz val="11"/>
      <name val="Arial"/>
      <family val="2"/>
    </font>
    <font>
      <b/>
      <sz val="11"/>
      <color indexed="17"/>
      <name val="Arial"/>
      <family val="2"/>
    </font>
    <font>
      <sz val="11"/>
      <name val="Arial"/>
      <family val="2"/>
    </font>
    <font>
      <i/>
      <sz val="11"/>
      <color rgb="FF0000FF"/>
      <name val="Arial"/>
      <family val="2"/>
    </font>
    <font>
      <sz val="11"/>
      <color indexed="12"/>
      <name val="Arial"/>
      <family val="2"/>
    </font>
    <font>
      <b/>
      <sz val="11"/>
      <color indexed="12"/>
      <name val="Arial"/>
      <family val="2"/>
    </font>
    <font>
      <b/>
      <sz val="11"/>
      <color rgb="FF0000FF"/>
      <name val="Arial"/>
      <family val="2"/>
    </font>
    <font>
      <sz val="11"/>
      <color rgb="FF0000FF"/>
      <name val="Arial"/>
      <family val="2"/>
    </font>
    <font>
      <b/>
      <sz val="11"/>
      <color rgb="FF008000"/>
      <name val="Arial"/>
      <family val="2"/>
    </font>
    <font>
      <sz val="10"/>
      <name val="Calibri"/>
      <family val="2"/>
    </font>
    <font>
      <sz val="10"/>
      <color rgb="FFFF0000"/>
      <name val="Arial"/>
      <family val="2"/>
    </font>
    <font>
      <b/>
      <sz val="10"/>
      <color rgb="FFFFFF00"/>
      <name val="Arial"/>
      <family val="2"/>
    </font>
    <font>
      <sz val="10"/>
      <color rgb="FFFFFF00"/>
      <name val="Arial"/>
      <family val="2"/>
    </font>
    <font>
      <b/>
      <sz val="11"/>
      <color rgb="FFFFFF00"/>
      <name val="Arial"/>
      <family val="2"/>
    </font>
    <font>
      <b/>
      <i/>
      <sz val="10"/>
      <color rgb="FFFFFF00"/>
      <name val="Arial"/>
      <family val="2"/>
    </font>
    <font>
      <b/>
      <sz val="10"/>
      <color rgb="FFFF0000"/>
      <name val="Arial"/>
      <family val="2"/>
    </font>
    <font>
      <sz val="10"/>
      <color rgb="FF0000FF"/>
      <name val="Calibri"/>
      <family val="2"/>
    </font>
    <font>
      <sz val="11"/>
      <name val="Calibri"/>
      <family val="2"/>
    </font>
    <font>
      <b/>
      <sz val="10"/>
      <color rgb="FF0000FF"/>
      <name val="Arial"/>
      <family val="2"/>
    </font>
  </fonts>
  <fills count="14">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10"/>
        <bgColor indexed="64"/>
      </patternFill>
    </fill>
    <fill>
      <patternFill patternType="solid">
        <fgColor indexed="53"/>
        <bgColor indexed="64"/>
      </patternFill>
    </fill>
    <fill>
      <patternFill patternType="solid">
        <fgColor indexed="9"/>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8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229">
    <xf numFmtId="0" fontId="0" fillId="0" borderId="0" xfId="0"/>
    <xf numFmtId="0" fontId="0" fillId="0" borderId="1" xfId="0" applyBorder="1"/>
    <xf numFmtId="0" fontId="4" fillId="0" borderId="1" xfId="0" applyFont="1" applyBorder="1"/>
    <xf numFmtId="0" fontId="2" fillId="0" borderId="1" xfId="0" applyFont="1" applyBorder="1"/>
    <xf numFmtId="0" fontId="3" fillId="0" borderId="1" xfId="0" applyFont="1" applyBorder="1"/>
    <xf numFmtId="0" fontId="6" fillId="0" borderId="1" xfId="0" applyFont="1" applyBorder="1"/>
    <xf numFmtId="2" fontId="2" fillId="0" borderId="1" xfId="0" applyNumberFormat="1" applyFont="1"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2" fontId="0" fillId="0" borderId="1" xfId="0" applyNumberFormat="1" applyBorder="1" applyAlignment="1">
      <alignment horizontal="center"/>
    </xf>
    <xf numFmtId="0" fontId="0" fillId="0" borderId="1" xfId="0" applyFill="1" applyBorder="1"/>
    <xf numFmtId="0" fontId="6" fillId="0" borderId="0" xfId="0" applyFont="1"/>
    <xf numFmtId="164" fontId="0" fillId="0" borderId="1" xfId="0" applyNumberFormat="1" applyBorder="1" applyAlignment="1">
      <alignment horizontal="center"/>
    </xf>
    <xf numFmtId="164" fontId="6" fillId="0" borderId="1" xfId="0" applyNumberFormat="1" applyFont="1" applyBorder="1" applyAlignment="1">
      <alignment horizontal="center"/>
    </xf>
    <xf numFmtId="0" fontId="6" fillId="0" borderId="1" xfId="0" applyFont="1" applyBorder="1" applyAlignment="1">
      <alignment horizontal="center"/>
    </xf>
    <xf numFmtId="1" fontId="0" fillId="0" borderId="1" xfId="0" applyNumberFormat="1" applyBorder="1" applyAlignment="1">
      <alignment horizontal="center"/>
    </xf>
    <xf numFmtId="0" fontId="8" fillId="0" borderId="0" xfId="0" applyFont="1"/>
    <xf numFmtId="164" fontId="2" fillId="0" borderId="1" xfId="0" applyNumberFormat="1" applyFont="1" applyBorder="1" applyAlignment="1">
      <alignment horizontal="center"/>
    </xf>
    <xf numFmtId="0" fontId="9" fillId="0" borderId="1" xfId="0" applyFont="1" applyBorder="1"/>
    <xf numFmtId="2" fontId="10" fillId="0" borderId="1" xfId="0" applyNumberFormat="1" applyFont="1" applyBorder="1" applyAlignment="1">
      <alignment horizontal="center"/>
    </xf>
    <xf numFmtId="2" fontId="6" fillId="0" borderId="1" xfId="0" applyNumberFormat="1" applyFont="1" applyBorder="1"/>
    <xf numFmtId="1" fontId="6" fillId="0" borderId="1" xfId="0" applyNumberFormat="1" applyFont="1" applyBorder="1" applyAlignment="1">
      <alignment horizontal="center"/>
    </xf>
    <xf numFmtId="164" fontId="12" fillId="0" borderId="1" xfId="0" applyNumberFormat="1" applyFont="1" applyBorder="1" applyAlignment="1">
      <alignment horizontal="center"/>
    </xf>
    <xf numFmtId="0" fontId="10" fillId="0" borderId="1" xfId="0" applyFont="1" applyBorder="1"/>
    <xf numFmtId="0" fontId="5" fillId="0" borderId="1" xfId="0" applyFont="1" applyBorder="1"/>
    <xf numFmtId="0" fontId="7" fillId="0" borderId="0" xfId="0" applyFont="1"/>
    <xf numFmtId="0" fontId="0" fillId="0" borderId="1" xfId="0" applyBorder="1" applyAlignment="1">
      <alignment horizontal="left"/>
    </xf>
    <xf numFmtId="20" fontId="0" fillId="0" borderId="1" xfId="0" applyNumberFormat="1" applyBorder="1" applyAlignment="1">
      <alignment horizontal="center"/>
    </xf>
    <xf numFmtId="0" fontId="6" fillId="0" borderId="1" xfId="0" applyFont="1" applyBorder="1" applyAlignment="1">
      <alignment horizontal="right" wrapText="1"/>
    </xf>
    <xf numFmtId="0" fontId="4" fillId="0" borderId="1" xfId="0" applyFont="1" applyBorder="1" applyAlignment="1">
      <alignment horizontal="center" wrapText="1"/>
    </xf>
    <xf numFmtId="0" fontId="13" fillId="0" borderId="0" xfId="0" applyFont="1"/>
    <xf numFmtId="2" fontId="0" fillId="0" borderId="1" xfId="0" applyNumberFormat="1" applyBorder="1"/>
    <xf numFmtId="2" fontId="4" fillId="0" borderId="1" xfId="0" applyNumberFormat="1" applyFont="1" applyBorder="1"/>
    <xf numFmtId="2" fontId="0" fillId="0" borderId="0" xfId="0" applyNumberFormat="1" applyFill="1" applyBorder="1"/>
    <xf numFmtId="2" fontId="0" fillId="0" borderId="1" xfId="0" applyNumberFormat="1" applyFill="1" applyBorder="1"/>
    <xf numFmtId="2" fontId="0" fillId="0" borderId="0" xfId="0" applyNumberFormat="1" applyBorder="1"/>
    <xf numFmtId="2" fontId="4" fillId="0" borderId="0" xfId="0" applyNumberFormat="1" applyFont="1" applyBorder="1" applyAlignment="1">
      <alignment horizontal="center"/>
    </xf>
    <xf numFmtId="1" fontId="0" fillId="0" borderId="0" xfId="0" applyNumberFormat="1"/>
    <xf numFmtId="1" fontId="2" fillId="0" borderId="1" xfId="0" applyNumberFormat="1" applyFont="1" applyBorder="1" applyAlignment="1">
      <alignment horizontal="center"/>
    </xf>
    <xf numFmtId="0" fontId="1" fillId="0" borderId="0" xfId="0" applyFont="1"/>
    <xf numFmtId="0" fontId="3" fillId="0" borderId="0" xfId="0" applyFont="1"/>
    <xf numFmtId="0" fontId="11" fillId="0" borderId="0" xfId="0" applyFont="1"/>
    <xf numFmtId="0" fontId="14" fillId="0" borderId="0" xfId="0" applyFont="1"/>
    <xf numFmtId="2" fontId="3" fillId="0" borderId="1" xfId="0" applyNumberFormat="1" applyFont="1" applyBorder="1" applyAlignment="1">
      <alignment horizontal="center"/>
    </xf>
    <xf numFmtId="0" fontId="3" fillId="0" borderId="1" xfId="0" applyFont="1" applyBorder="1" applyAlignment="1">
      <alignment horizontal="center"/>
    </xf>
    <xf numFmtId="0" fontId="16" fillId="0" borderId="0" xfId="0" applyFont="1"/>
    <xf numFmtId="2" fontId="17" fillId="0" borderId="1" xfId="0" applyNumberFormat="1" applyFont="1" applyBorder="1" applyAlignment="1">
      <alignment horizontal="center"/>
    </xf>
    <xf numFmtId="164" fontId="17" fillId="0" borderId="1" xfId="0" applyNumberFormat="1" applyFont="1" applyBorder="1" applyAlignment="1">
      <alignment horizontal="center"/>
    </xf>
    <xf numFmtId="2" fontId="18" fillId="0" borderId="1" xfId="0" applyNumberFormat="1" applyFont="1" applyBorder="1" applyAlignment="1">
      <alignment horizontal="center"/>
    </xf>
    <xf numFmtId="2" fontId="12" fillId="0" borderId="1" xfId="0" applyNumberFormat="1" applyFont="1" applyBorder="1" applyAlignment="1">
      <alignment horizontal="center"/>
    </xf>
    <xf numFmtId="0" fontId="19" fillId="0" borderId="0" xfId="0" applyFont="1"/>
    <xf numFmtId="2" fontId="6" fillId="0" borderId="1" xfId="0" applyNumberFormat="1" applyFont="1" applyFill="1" applyBorder="1" applyAlignment="1">
      <alignment horizontal="center"/>
    </xf>
    <xf numFmtId="0" fontId="22" fillId="0" borderId="1" xfId="0" applyFont="1" applyFill="1" applyBorder="1" applyAlignment="1">
      <alignment horizontal="center"/>
    </xf>
    <xf numFmtId="0" fontId="23" fillId="0" borderId="1" xfId="0" applyFont="1" applyBorder="1"/>
    <xf numFmtId="0" fontId="23" fillId="0" borderId="1" xfId="0" applyFont="1" applyFill="1" applyBorder="1" applyAlignment="1">
      <alignment horizontal="center"/>
    </xf>
    <xf numFmtId="0" fontId="23" fillId="0" borderId="0" xfId="0" applyFont="1" applyFill="1" applyBorder="1"/>
    <xf numFmtId="0" fontId="23" fillId="0" borderId="0" xfId="0" applyFont="1"/>
    <xf numFmtId="0" fontId="23" fillId="0" borderId="1" xfId="0" applyFont="1" applyBorder="1" applyAlignment="1">
      <alignment horizontal="center"/>
    </xf>
    <xf numFmtId="0" fontId="0" fillId="0" borderId="1" xfId="0" quotePrefix="1" applyBorder="1" applyAlignment="1">
      <alignment horizontal="center"/>
    </xf>
    <xf numFmtId="0" fontId="4" fillId="2" borderId="1" xfId="0" applyFont="1" applyFill="1" applyBorder="1" applyAlignment="1">
      <alignment horizontal="center"/>
    </xf>
    <xf numFmtId="2" fontId="5" fillId="2" borderId="0" xfId="0" applyNumberFormat="1" applyFont="1" applyFill="1" applyAlignment="1">
      <alignment horizontal="center"/>
    </xf>
    <xf numFmtId="0" fontId="0" fillId="2" borderId="0" xfId="0" applyFill="1"/>
    <xf numFmtId="0" fontId="5" fillId="2" borderId="1" xfId="0" applyFont="1" applyFill="1" applyBorder="1" applyAlignment="1">
      <alignment horizontal="center"/>
    </xf>
    <xf numFmtId="0" fontId="0" fillId="3" borderId="1" xfId="0" applyFill="1" applyBorder="1"/>
    <xf numFmtId="2" fontId="6" fillId="3" borderId="0" xfId="0" applyNumberFormat="1" applyFont="1" applyFill="1" applyBorder="1"/>
    <xf numFmtId="0" fontId="0" fillId="3" borderId="0" xfId="0" applyFill="1"/>
    <xf numFmtId="2" fontId="17" fillId="3" borderId="1" xfId="0" applyNumberFormat="1" applyFont="1" applyFill="1" applyBorder="1" applyAlignment="1">
      <alignment horizontal="center"/>
    </xf>
    <xf numFmtId="1" fontId="0" fillId="3" borderId="1" xfId="0" applyNumberFormat="1" applyFill="1" applyBorder="1" applyAlignment="1">
      <alignment horizontal="center"/>
    </xf>
    <xf numFmtId="164" fontId="17" fillId="3" borderId="1" xfId="0" applyNumberFormat="1" applyFont="1" applyFill="1" applyBorder="1" applyAlignment="1">
      <alignment horizontal="center"/>
    </xf>
    <xf numFmtId="0" fontId="0" fillId="3" borderId="1" xfId="0" applyFill="1" applyBorder="1" applyAlignment="1">
      <alignment horizontal="center"/>
    </xf>
    <xf numFmtId="164" fontId="18" fillId="3" borderId="1" xfId="0" applyNumberFormat="1" applyFont="1" applyFill="1" applyBorder="1" applyAlignment="1">
      <alignment horizontal="center"/>
    </xf>
    <xf numFmtId="0" fontId="24" fillId="0" borderId="0" xfId="0" applyFont="1"/>
    <xf numFmtId="0" fontId="13" fillId="4" borderId="0" xfId="0" applyFont="1" applyFill="1"/>
    <xf numFmtId="0" fontId="0" fillId="4" borderId="0" xfId="0" applyFill="1"/>
    <xf numFmtId="0" fontId="0" fillId="5" borderId="0" xfId="0" applyFill="1"/>
    <xf numFmtId="0" fontId="13" fillId="6" borderId="0" xfId="0" applyFont="1" applyFill="1"/>
    <xf numFmtId="0" fontId="0" fillId="6" borderId="0" xfId="0" applyFill="1"/>
    <xf numFmtId="0" fontId="20" fillId="3" borderId="2" xfId="0" applyFont="1" applyFill="1" applyBorder="1"/>
    <xf numFmtId="0" fontId="0" fillId="3" borderId="0" xfId="0" applyFill="1" applyBorder="1"/>
    <xf numFmtId="0" fontId="0" fillId="3" borderId="3" xfId="0" applyFill="1" applyBorder="1"/>
    <xf numFmtId="0" fontId="20" fillId="3" borderId="4" xfId="0" applyFont="1" applyFill="1" applyBorder="1"/>
    <xf numFmtId="0" fontId="0" fillId="3" borderId="5" xfId="0" applyFill="1" applyBorder="1"/>
    <xf numFmtId="0" fontId="0" fillId="3" borderId="6" xfId="0" applyFill="1" applyBorder="1"/>
    <xf numFmtId="0" fontId="24" fillId="0" borderId="0" xfId="0" applyFont="1" applyAlignment="1">
      <alignment vertical="top"/>
    </xf>
    <xf numFmtId="0" fontId="25" fillId="0" borderId="0" xfId="0" applyFont="1" applyAlignment="1">
      <alignment vertical="top"/>
    </xf>
    <xf numFmtId="0" fontId="0" fillId="7" borderId="0" xfId="0" applyFill="1"/>
    <xf numFmtId="0" fontId="26" fillId="5" borderId="0" xfId="0" applyFont="1" applyFill="1"/>
    <xf numFmtId="0" fontId="26" fillId="5" borderId="0" xfId="0" applyFont="1" applyFill="1" applyAlignment="1">
      <alignment vertical="top"/>
    </xf>
    <xf numFmtId="0" fontId="0" fillId="7" borderId="7" xfId="0" applyFill="1" applyBorder="1"/>
    <xf numFmtId="0" fontId="0" fillId="7" borderId="8" xfId="0" applyFill="1" applyBorder="1"/>
    <xf numFmtId="0" fontId="0" fillId="7" borderId="9" xfId="0" applyFill="1" applyBorder="1"/>
    <xf numFmtId="0" fontId="0" fillId="7" borderId="2" xfId="0" applyFill="1" applyBorder="1"/>
    <xf numFmtId="0" fontId="0" fillId="7" borderId="0" xfId="0" applyFill="1" applyBorder="1"/>
    <xf numFmtId="0" fontId="0" fillId="7" borderId="3" xfId="0" applyFill="1" applyBorder="1"/>
    <xf numFmtId="0" fontId="0" fillId="0" borderId="0" xfId="0" applyFill="1"/>
    <xf numFmtId="164" fontId="5" fillId="0" borderId="1" xfId="0" applyNumberFormat="1" applyFont="1" applyFill="1" applyBorder="1" applyAlignment="1">
      <alignment horizontal="center"/>
    </xf>
    <xf numFmtId="2" fontId="4" fillId="0" borderId="1" xfId="0" applyNumberFormat="1" applyFont="1" applyFill="1" applyBorder="1" applyAlignment="1">
      <alignment horizontal="center"/>
    </xf>
    <xf numFmtId="0" fontId="27" fillId="7" borderId="0" xfId="0" applyFont="1" applyFill="1"/>
    <xf numFmtId="0" fontId="18" fillId="7" borderId="0" xfId="0" applyFont="1" applyFill="1"/>
    <xf numFmtId="0" fontId="15" fillId="7" borderId="0" xfId="0" applyFont="1" applyFill="1"/>
    <xf numFmtId="0" fontId="6" fillId="7" borderId="0" xfId="0" applyFont="1" applyFill="1"/>
    <xf numFmtId="0" fontId="17" fillId="7" borderId="0" xfId="0" applyFont="1" applyFill="1"/>
    <xf numFmtId="0" fontId="1" fillId="2" borderId="0" xfId="0" applyFont="1" applyFill="1"/>
    <xf numFmtId="0" fontId="18" fillId="2" borderId="0" xfId="0" applyFont="1" applyFill="1"/>
    <xf numFmtId="0" fontId="18" fillId="2" borderId="0" xfId="0" applyFont="1" applyFill="1" applyAlignment="1">
      <alignment horizontal="center"/>
    </xf>
    <xf numFmtId="1" fontId="0" fillId="0" borderId="0" xfId="0" applyNumberFormat="1" applyAlignment="1">
      <alignment horizontal="center"/>
    </xf>
    <xf numFmtId="0" fontId="3" fillId="0" borderId="0" xfId="0" applyFont="1" applyAlignment="1">
      <alignment horizontal="center"/>
    </xf>
    <xf numFmtId="1" fontId="0" fillId="8" borderId="0" xfId="0" applyNumberFormat="1" applyFill="1" applyAlignment="1">
      <alignment horizontal="center"/>
    </xf>
    <xf numFmtId="0" fontId="28" fillId="0" borderId="0" xfId="0" applyFont="1"/>
    <xf numFmtId="0" fontId="0" fillId="8" borderId="0" xfId="0" applyFill="1"/>
    <xf numFmtId="0" fontId="0" fillId="9" borderId="0" xfId="0" applyFill="1"/>
    <xf numFmtId="0" fontId="29" fillId="9" borderId="0" xfId="0" applyFont="1" applyFill="1"/>
    <xf numFmtId="0" fontId="29" fillId="3" borderId="0" xfId="0" applyFont="1" applyFill="1"/>
    <xf numFmtId="2" fontId="3" fillId="0" borderId="1" xfId="0" applyNumberFormat="1" applyFont="1" applyFill="1" applyBorder="1"/>
    <xf numFmtId="2" fontId="29" fillId="9" borderId="1" xfId="0" applyNumberFormat="1" applyFont="1" applyFill="1" applyBorder="1" applyAlignment="1">
      <alignment horizontal="center"/>
    </xf>
    <xf numFmtId="164" fontId="12" fillId="9" borderId="1" xfId="0" applyNumberFormat="1" applyFont="1" applyFill="1" applyBorder="1" applyAlignment="1">
      <alignment horizontal="center"/>
    </xf>
    <xf numFmtId="20" fontId="3" fillId="0" borderId="1" xfId="0" quotePrefix="1" applyNumberFormat="1" applyFont="1" applyBorder="1" applyAlignment="1">
      <alignment horizontal="center"/>
    </xf>
    <xf numFmtId="0" fontId="3" fillId="0" borderId="1" xfId="0" applyFont="1" applyBorder="1" applyAlignment="1">
      <alignment horizontal="right"/>
    </xf>
    <xf numFmtId="0" fontId="6" fillId="9" borderId="1" xfId="0" applyFont="1" applyFill="1" applyBorder="1" applyAlignment="1">
      <alignment horizontal="center"/>
    </xf>
    <xf numFmtId="2" fontId="30" fillId="0" borderId="1" xfId="0" applyNumberFormat="1" applyFont="1" applyBorder="1"/>
    <xf numFmtId="2" fontId="31" fillId="0" borderId="1" xfId="0" applyNumberFormat="1" applyFont="1" applyBorder="1" applyAlignment="1">
      <alignment horizontal="center"/>
    </xf>
    <xf numFmtId="0" fontId="32" fillId="0" borderId="1" xfId="0" applyFont="1" applyBorder="1"/>
    <xf numFmtId="2" fontId="32" fillId="0" borderId="1" xfId="0" applyNumberFormat="1" applyFont="1" applyBorder="1"/>
    <xf numFmtId="2" fontId="32" fillId="3" borderId="1" xfId="0" applyNumberFormat="1" applyFont="1" applyFill="1" applyBorder="1"/>
    <xf numFmtId="164" fontId="34" fillId="0" borderId="1" xfId="0" applyNumberFormat="1" applyFont="1" applyBorder="1" applyAlignment="1">
      <alignment horizontal="center"/>
    </xf>
    <xf numFmtId="164" fontId="35" fillId="3" borderId="1" xfId="0" applyNumberFormat="1" applyFont="1" applyFill="1" applyBorder="1" applyAlignment="1">
      <alignment horizontal="center"/>
    </xf>
    <xf numFmtId="0" fontId="32" fillId="0" borderId="0" xfId="0" applyFont="1"/>
    <xf numFmtId="2" fontId="36" fillId="9" borderId="0" xfId="0" applyNumberFormat="1" applyFont="1" applyFill="1" applyBorder="1"/>
    <xf numFmtId="0" fontId="37" fillId="9" borderId="0" xfId="0" applyFont="1" applyFill="1"/>
    <xf numFmtId="1" fontId="34" fillId="0" borderId="1" xfId="0" applyNumberFormat="1" applyFont="1" applyBorder="1" applyAlignment="1">
      <alignment horizontal="center"/>
    </xf>
    <xf numFmtId="1" fontId="35" fillId="3" borderId="1" xfId="0" applyNumberFormat="1" applyFont="1" applyFill="1" applyBorder="1" applyAlignment="1">
      <alignment horizontal="center"/>
    </xf>
    <xf numFmtId="1" fontId="34" fillId="3" borderId="1" xfId="0" applyNumberFormat="1" applyFont="1" applyFill="1" applyBorder="1" applyAlignment="1">
      <alignment horizontal="center"/>
    </xf>
    <xf numFmtId="164" fontId="35" fillId="9" borderId="1" xfId="0" applyNumberFormat="1" applyFont="1" applyFill="1" applyBorder="1" applyAlignment="1">
      <alignment horizontal="center"/>
    </xf>
    <xf numFmtId="20" fontId="32" fillId="0" borderId="1" xfId="0" applyNumberFormat="1" applyFont="1" applyBorder="1" applyAlignment="1">
      <alignment horizontal="center"/>
    </xf>
    <xf numFmtId="0" fontId="37" fillId="9" borderId="1" xfId="0" applyFont="1" applyFill="1" applyBorder="1" applyAlignment="1">
      <alignment horizontal="left"/>
    </xf>
    <xf numFmtId="1" fontId="37" fillId="9" borderId="1" xfId="0" applyNumberFormat="1" applyFont="1" applyFill="1" applyBorder="1" applyAlignment="1">
      <alignment horizontal="center"/>
    </xf>
    <xf numFmtId="0" fontId="37" fillId="9" borderId="1" xfId="0" applyFont="1" applyFill="1" applyBorder="1" applyAlignment="1">
      <alignment horizontal="center"/>
    </xf>
    <xf numFmtId="0" fontId="32" fillId="0" borderId="1" xfId="0" applyFont="1" applyBorder="1" applyAlignment="1">
      <alignment horizontal="center"/>
    </xf>
    <xf numFmtId="0" fontId="36" fillId="3" borderId="1" xfId="0" applyFont="1" applyFill="1" applyBorder="1"/>
    <xf numFmtId="0" fontId="29" fillId="0" borderId="1" xfId="0" applyFont="1" applyBorder="1"/>
    <xf numFmtId="0" fontId="36" fillId="9" borderId="1" xfId="0" applyFont="1" applyFill="1" applyBorder="1"/>
    <xf numFmtId="0" fontId="6" fillId="9" borderId="0" xfId="0" applyFont="1" applyFill="1"/>
    <xf numFmtId="0" fontId="6" fillId="9" borderId="14" xfId="0" applyFont="1" applyFill="1" applyBorder="1"/>
    <xf numFmtId="0" fontId="0" fillId="9" borderId="0" xfId="0" applyFill="1" applyBorder="1"/>
    <xf numFmtId="3" fontId="30" fillId="9" borderId="0" xfId="0" applyNumberFormat="1" applyFont="1" applyFill="1" applyBorder="1"/>
    <xf numFmtId="0" fontId="30" fillId="9" borderId="0" xfId="0" applyFont="1" applyFill="1" applyBorder="1"/>
    <xf numFmtId="1" fontId="30" fillId="9" borderId="0" xfId="0" applyNumberFormat="1" applyFont="1" applyFill="1" applyBorder="1"/>
    <xf numFmtId="0" fontId="0" fillId="9" borderId="17" xfId="0" applyFill="1" applyBorder="1"/>
    <xf numFmtId="0" fontId="0" fillId="9" borderId="18" xfId="0" applyFill="1" applyBorder="1"/>
    <xf numFmtId="0" fontId="0" fillId="9" borderId="15" xfId="0" applyFill="1" applyBorder="1"/>
    <xf numFmtId="0" fontId="0" fillId="10" borderId="20" xfId="0" applyFill="1" applyBorder="1"/>
    <xf numFmtId="0" fontId="0" fillId="10" borderId="21" xfId="0" applyFill="1" applyBorder="1"/>
    <xf numFmtId="2" fontId="31" fillId="2" borderId="23" xfId="0" applyNumberFormat="1" applyFont="1" applyFill="1" applyBorder="1"/>
    <xf numFmtId="0" fontId="0" fillId="2" borderId="24" xfId="0" applyFill="1" applyBorder="1"/>
    <xf numFmtId="0" fontId="0" fillId="8" borderId="25" xfId="0" applyFill="1" applyBorder="1"/>
    <xf numFmtId="2" fontId="32" fillId="0" borderId="10" xfId="0" applyNumberFormat="1" applyFont="1" applyBorder="1"/>
    <xf numFmtId="2" fontId="32" fillId="0" borderId="12" xfId="0" applyNumberFormat="1" applyFont="1" applyBorder="1"/>
    <xf numFmtId="0" fontId="32" fillId="0" borderId="26" xfId="0" applyFont="1" applyBorder="1"/>
    <xf numFmtId="2" fontId="31" fillId="2" borderId="22" xfId="0" applyNumberFormat="1" applyFont="1" applyFill="1" applyBorder="1" applyAlignment="1">
      <alignment horizontal="center"/>
    </xf>
    <xf numFmtId="164" fontId="31" fillId="0" borderId="13" xfId="0" applyNumberFormat="1" applyFont="1" applyBorder="1" applyAlignment="1">
      <alignment horizontal="center"/>
    </xf>
    <xf numFmtId="1" fontId="31" fillId="10" borderId="27" xfId="0" applyNumberFormat="1" applyFont="1" applyFill="1" applyBorder="1" applyAlignment="1">
      <alignment horizontal="center"/>
    </xf>
    <xf numFmtId="2" fontId="3" fillId="0" borderId="26" xfId="0" applyNumberFormat="1" applyFont="1" applyFill="1" applyBorder="1"/>
    <xf numFmtId="2" fontId="30" fillId="0" borderId="10" xfId="0" applyNumberFormat="1" applyFont="1" applyBorder="1"/>
    <xf numFmtId="2" fontId="31" fillId="0" borderId="26" xfId="0" applyNumberFormat="1" applyFont="1" applyBorder="1" applyAlignment="1">
      <alignment horizontal="center"/>
    </xf>
    <xf numFmtId="164" fontId="31" fillId="2" borderId="22" xfId="0" applyNumberFormat="1" applyFont="1" applyFill="1" applyBorder="1" applyAlignment="1">
      <alignment horizontal="center"/>
    </xf>
    <xf numFmtId="0" fontId="8" fillId="10" borderId="19" xfId="0" applyFont="1" applyFill="1" applyBorder="1"/>
    <xf numFmtId="0" fontId="38" fillId="8" borderId="22" xfId="0" applyFont="1" applyFill="1" applyBorder="1" applyAlignment="1">
      <alignment horizontal="center"/>
    </xf>
    <xf numFmtId="0" fontId="33" fillId="0" borderId="0" xfId="0" quotePrefix="1" applyFont="1"/>
    <xf numFmtId="2" fontId="0" fillId="0" borderId="0" xfId="0" applyNumberFormat="1"/>
    <xf numFmtId="164" fontId="6" fillId="0" borderId="1" xfId="0" applyNumberFormat="1" applyFont="1" applyFill="1" applyBorder="1" applyAlignment="1">
      <alignment horizontal="center"/>
    </xf>
    <xf numFmtId="2" fontId="3" fillId="8" borderId="1" xfId="0" applyNumberFormat="1" applyFont="1" applyFill="1" applyBorder="1" applyAlignment="1">
      <alignment horizontal="center"/>
    </xf>
    <xf numFmtId="164" fontId="0" fillId="11" borderId="1" xfId="0" applyNumberFormat="1" applyFill="1" applyBorder="1" applyAlignment="1">
      <alignment horizontal="center"/>
    </xf>
    <xf numFmtId="2" fontId="0" fillId="11" borderId="1" xfId="0" applyNumberFormat="1" applyFill="1" applyBorder="1" applyAlignment="1">
      <alignment horizontal="center"/>
    </xf>
    <xf numFmtId="2" fontId="6" fillId="8" borderId="1" xfId="0" applyNumberFormat="1" applyFont="1" applyFill="1" applyBorder="1" applyAlignment="1">
      <alignment horizontal="center"/>
    </xf>
    <xf numFmtId="2" fontId="6" fillId="0" borderId="1" xfId="0" applyNumberFormat="1" applyFont="1" applyBorder="1" applyAlignment="1">
      <alignment horizontal="center"/>
    </xf>
    <xf numFmtId="2" fontId="6" fillId="11" borderId="1" xfId="0" applyNumberFormat="1" applyFont="1" applyFill="1" applyBorder="1" applyAlignment="1">
      <alignment horizontal="center"/>
    </xf>
    <xf numFmtId="2" fontId="40" fillId="8" borderId="1" xfId="0" applyNumberFormat="1" applyFont="1" applyFill="1" applyBorder="1" applyAlignment="1">
      <alignment horizontal="center"/>
    </xf>
    <xf numFmtId="2" fontId="40" fillId="0" borderId="1" xfId="0" applyNumberFormat="1" applyFont="1" applyBorder="1" applyAlignment="1">
      <alignment horizontal="center"/>
    </xf>
    <xf numFmtId="2" fontId="40" fillId="11" borderId="1" xfId="0" applyNumberFormat="1" applyFont="1" applyFill="1" applyBorder="1" applyAlignment="1">
      <alignment horizontal="center"/>
    </xf>
    <xf numFmtId="0" fontId="6" fillId="8" borderId="14" xfId="0" applyFont="1" applyFill="1" applyBorder="1"/>
    <xf numFmtId="0" fontId="0" fillId="8" borderId="0" xfId="0" applyFill="1" applyBorder="1"/>
    <xf numFmtId="3" fontId="30" fillId="8" borderId="0" xfId="0" applyNumberFormat="1" applyFont="1" applyFill="1" applyBorder="1"/>
    <xf numFmtId="0" fontId="30" fillId="8" borderId="0" xfId="0" applyFont="1" applyFill="1" applyBorder="1"/>
    <xf numFmtId="1" fontId="30" fillId="8" borderId="0" xfId="0" applyNumberFormat="1" applyFont="1" applyFill="1" applyBorder="1"/>
    <xf numFmtId="0" fontId="44" fillId="9" borderId="14" xfId="0" applyFont="1" applyFill="1" applyBorder="1"/>
    <xf numFmtId="0" fontId="44" fillId="9" borderId="16" xfId="0" applyFont="1" applyFill="1" applyBorder="1"/>
    <xf numFmtId="0" fontId="43" fillId="9" borderId="1" xfId="0" applyFont="1" applyFill="1" applyBorder="1" applyAlignment="1">
      <alignment horizontal="left"/>
    </xf>
    <xf numFmtId="1" fontId="43" fillId="9" borderId="1" xfId="0" applyNumberFormat="1" applyFont="1" applyFill="1" applyBorder="1" applyAlignment="1">
      <alignment horizontal="center"/>
    </xf>
    <xf numFmtId="0" fontId="43" fillId="9" borderId="1" xfId="0" applyFont="1" applyFill="1" applyBorder="1" applyAlignment="1">
      <alignment horizontal="center"/>
    </xf>
    <xf numFmtId="0" fontId="3" fillId="0" borderId="0" xfId="1"/>
    <xf numFmtId="2" fontId="3" fillId="0" borderId="1" xfId="1" applyNumberFormat="1" applyBorder="1" applyAlignment="1">
      <alignment horizontal="center"/>
    </xf>
    <xf numFmtId="164" fontId="3" fillId="0" borderId="1" xfId="1" applyNumberFormat="1" applyBorder="1" applyAlignment="1">
      <alignment horizontal="center"/>
    </xf>
    <xf numFmtId="2" fontId="3" fillId="8" borderId="1" xfId="1" applyNumberFormat="1" applyFont="1" applyFill="1" applyBorder="1" applyAlignment="1">
      <alignment horizontal="center"/>
    </xf>
    <xf numFmtId="2" fontId="6" fillId="8" borderId="1" xfId="1" applyNumberFormat="1" applyFont="1" applyFill="1" applyBorder="1" applyAlignment="1">
      <alignment horizontal="center"/>
    </xf>
    <xf numFmtId="2" fontId="6" fillId="0" borderId="1" xfId="1" applyNumberFormat="1" applyFont="1" applyBorder="1" applyAlignment="1">
      <alignment horizontal="center"/>
    </xf>
    <xf numFmtId="2" fontId="6" fillId="11" borderId="1" xfId="1" applyNumberFormat="1" applyFont="1" applyFill="1" applyBorder="1" applyAlignment="1">
      <alignment horizontal="center"/>
    </xf>
    <xf numFmtId="2" fontId="40" fillId="8" borderId="1" xfId="1" applyNumberFormat="1" applyFont="1" applyFill="1" applyBorder="1" applyAlignment="1">
      <alignment horizontal="center"/>
    </xf>
    <xf numFmtId="2" fontId="40" fillId="0" borderId="1" xfId="1" applyNumberFormat="1" applyFont="1" applyBorder="1" applyAlignment="1">
      <alignment horizontal="center"/>
    </xf>
    <xf numFmtId="164" fontId="3" fillId="0" borderId="1" xfId="1" applyNumberFormat="1" applyFill="1" applyBorder="1" applyAlignment="1">
      <alignment horizontal="center"/>
    </xf>
    <xf numFmtId="2" fontId="3" fillId="0" borderId="1" xfId="1" applyNumberFormat="1" applyFill="1" applyBorder="1" applyAlignment="1">
      <alignment horizontal="center"/>
    </xf>
    <xf numFmtId="164" fontId="6" fillId="11" borderId="1" xfId="1" applyNumberFormat="1" applyFont="1" applyFill="1" applyBorder="1" applyAlignment="1">
      <alignment horizontal="center"/>
    </xf>
    <xf numFmtId="2" fontId="45" fillId="11" borderId="1" xfId="1" applyNumberFormat="1" applyFont="1" applyFill="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wrapText="1"/>
    </xf>
    <xf numFmtId="0" fontId="6" fillId="0" borderId="10" xfId="0" applyFont="1" applyBorder="1" applyAlignment="1"/>
    <xf numFmtId="0" fontId="6" fillId="0" borderId="11" xfId="0" applyFont="1" applyBorder="1" applyAlignment="1"/>
    <xf numFmtId="0" fontId="6" fillId="0" borderId="12" xfId="0" applyFont="1" applyBorder="1" applyAlignment="1"/>
    <xf numFmtId="0" fontId="17" fillId="0" borderId="10" xfId="0" applyFont="1" applyFill="1" applyBorder="1" applyAlignment="1"/>
    <xf numFmtId="0" fontId="18" fillId="0" borderId="11" xfId="0" applyFont="1" applyBorder="1" applyAlignment="1"/>
    <xf numFmtId="0" fontId="18" fillId="0" borderId="12" xfId="0" applyFont="1" applyBorder="1" applyAlignment="1"/>
    <xf numFmtId="0" fontId="2" fillId="0" borderId="10" xfId="0" applyFont="1" applyFill="1" applyBorder="1" applyAlignment="1"/>
    <xf numFmtId="0" fontId="0" fillId="0" borderId="11" xfId="0" applyBorder="1" applyAlignment="1"/>
    <xf numFmtId="0" fontId="0" fillId="0" borderId="12" xfId="0" applyBorder="1" applyAlignment="1"/>
    <xf numFmtId="0" fontId="2" fillId="0" borderId="1" xfId="0" applyFont="1" applyBorder="1" applyAlignment="1">
      <alignment horizontal="center"/>
    </xf>
    <xf numFmtId="0" fontId="6" fillId="0" borderId="10" xfId="0" applyFont="1" applyBorder="1" applyAlignment="1">
      <alignment horizontal="left"/>
    </xf>
    <xf numFmtId="0" fontId="6" fillId="8" borderId="5" xfId="0" applyFont="1" applyFill="1" applyBorder="1" applyAlignment="1"/>
    <xf numFmtId="0" fontId="0" fillId="8" borderId="5" xfId="0" applyFill="1" applyBorder="1" applyAlignment="1"/>
    <xf numFmtId="0" fontId="41" fillId="13" borderId="5" xfId="1" applyFont="1" applyFill="1" applyBorder="1" applyAlignment="1"/>
    <xf numFmtId="0" fontId="42" fillId="13" borderId="5" xfId="1" applyFont="1" applyFill="1" applyBorder="1" applyAlignment="1"/>
    <xf numFmtId="0" fontId="6" fillId="12" borderId="5" xfId="1" applyFont="1" applyFill="1" applyBorder="1" applyAlignment="1"/>
    <xf numFmtId="0" fontId="3" fillId="12" borderId="5" xfId="1" applyFill="1" applyBorder="1" applyAlignment="1"/>
    <xf numFmtId="0" fontId="29" fillId="9" borderId="1" xfId="0" applyFont="1" applyFill="1" applyBorder="1"/>
    <xf numFmtId="0" fontId="3" fillId="3" borderId="1" xfId="0" applyFont="1" applyFill="1" applyBorder="1"/>
    <xf numFmtId="0" fontId="3" fillId="0" borderId="1" xfId="0" applyFont="1" applyFill="1" applyBorder="1"/>
    <xf numFmtId="0" fontId="6" fillId="8" borderId="0" xfId="0" applyFont="1" applyFill="1"/>
    <xf numFmtId="0" fontId="48" fillId="9" borderId="0" xfId="0" applyFont="1" applyFill="1" applyAlignment="1">
      <alignment horizontal="right"/>
    </xf>
    <xf numFmtId="164" fontId="48" fillId="9" borderId="0" xfId="0" applyNumberFormat="1" applyFont="1" applyFill="1"/>
    <xf numFmtId="0" fontId="48" fillId="9" borderId="0" xfId="0" applyFont="1" applyFill="1"/>
  </cellXfs>
  <cellStyles count="2">
    <cellStyle name="Normal" xfId="0" builtinId="0"/>
    <cellStyle name="Normal 2" xfId="1" xr:uid="{71D63953-4E44-428D-B779-7045C8F7798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542925</xdr:colOff>
          <xdr:row>12</xdr:row>
          <xdr:rowOff>66675</xdr:rowOff>
        </xdr:from>
        <xdr:to>
          <xdr:col>9</xdr:col>
          <xdr:colOff>457200</xdr:colOff>
          <xdr:row>17</xdr:row>
          <xdr:rowOff>133350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2</xdr:row>
          <xdr:rowOff>38100</xdr:rowOff>
        </xdr:from>
        <xdr:to>
          <xdr:col>16</xdr:col>
          <xdr:colOff>742950</xdr:colOff>
          <xdr:row>18</xdr:row>
          <xdr:rowOff>9525</xdr:rowOff>
        </xdr:to>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0B00-000001440000}"/>
                </a:ext>
              </a:extLst>
            </xdr:cNvPr>
            <xdr:cNvSpPr/>
          </xdr:nvSpPr>
          <xdr:spPr bwMode="auto">
            <a:xfrm>
              <a:off x="0" y="0"/>
              <a:ext cx="0" cy="0"/>
            </a:xfrm>
            <a:prstGeom prst="rect">
              <a:avLst/>
            </a:prstGeom>
            <a:solidFill>
              <a:srgbClr val="0000FF" mc:Ignorable="a14" a14:legacySpreadsheetColorIndex="39"/>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6</xdr:col>
      <xdr:colOff>38101</xdr:colOff>
      <xdr:row>0</xdr:row>
      <xdr:rowOff>57150</xdr:rowOff>
    </xdr:from>
    <xdr:to>
      <xdr:col>14</xdr:col>
      <xdr:colOff>592485</xdr:colOff>
      <xdr:row>15</xdr:row>
      <xdr:rowOff>85725</xdr:rowOff>
    </xdr:to>
    <xdr:pic>
      <xdr:nvPicPr>
        <xdr:cNvPr id="2" name="Picture 1" descr="Image result for table pkw temperature dependence">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6226" y="57150"/>
          <a:ext cx="6212234" cy="245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381000</xdr:colOff>
          <xdr:row>6</xdr:row>
          <xdr:rowOff>66675</xdr:rowOff>
        </xdr:from>
        <xdr:to>
          <xdr:col>6</xdr:col>
          <xdr:colOff>238125</xdr:colOff>
          <xdr:row>11</xdr:row>
          <xdr:rowOff>57150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10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Microsoft_Word_97_-_2003_Document.doc"/></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1.bin"/><Relationship Id="rId5" Type="http://schemas.openxmlformats.org/officeDocument/2006/relationships/image" Target="../media/image4.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workbookViewId="0">
      <selection activeCell="A2" sqref="A2"/>
    </sheetView>
  </sheetViews>
  <sheetFormatPr defaultColWidth="8.85546875" defaultRowHeight="12.75" x14ac:dyDescent="0.2"/>
  <cols>
    <col min="7" max="7" width="13.28515625" customWidth="1"/>
    <col min="11" max="11" width="5.28515625" customWidth="1"/>
  </cols>
  <sheetData>
    <row r="1" spans="1:11" x14ac:dyDescent="0.2">
      <c r="A1" s="73" t="s">
        <v>119</v>
      </c>
      <c r="B1" s="74"/>
      <c r="C1" s="74"/>
      <c r="D1" s="74"/>
      <c r="E1" s="74"/>
    </row>
    <row r="3" spans="1:11" x14ac:dyDescent="0.2">
      <c r="A3" t="s">
        <v>183</v>
      </c>
    </row>
    <row r="4" spans="1:11" x14ac:dyDescent="0.2">
      <c r="A4" t="s">
        <v>182</v>
      </c>
    </row>
    <row r="5" spans="1:11" x14ac:dyDescent="0.2">
      <c r="A5" t="s">
        <v>184</v>
      </c>
    </row>
    <row r="6" spans="1:11" x14ac:dyDescent="0.2">
      <c r="A6" t="s">
        <v>185</v>
      </c>
    </row>
    <row r="7" spans="1:11" x14ac:dyDescent="0.2">
      <c r="A7" t="s">
        <v>267</v>
      </c>
    </row>
    <row r="8" spans="1:11" x14ac:dyDescent="0.2">
      <c r="A8" t="s">
        <v>268</v>
      </c>
    </row>
    <row r="9" spans="1:11" x14ac:dyDescent="0.2">
      <c r="A9" t="s">
        <v>269</v>
      </c>
    </row>
    <row r="10" spans="1:11" x14ac:dyDescent="0.2">
      <c r="A10" t="s">
        <v>120</v>
      </c>
    </row>
    <row r="11" spans="1:11" x14ac:dyDescent="0.2">
      <c r="A11" t="s">
        <v>121</v>
      </c>
    </row>
    <row r="12" spans="1:11" x14ac:dyDescent="0.2">
      <c r="A12" t="s">
        <v>122</v>
      </c>
    </row>
    <row r="13" spans="1:11" x14ac:dyDescent="0.2">
      <c r="H13" s="89"/>
      <c r="I13" s="90"/>
      <c r="J13" s="90"/>
      <c r="K13" s="91"/>
    </row>
    <row r="14" spans="1:11" x14ac:dyDescent="0.2">
      <c r="H14" s="92"/>
      <c r="I14" s="93"/>
      <c r="J14" s="93"/>
      <c r="K14" s="94"/>
    </row>
    <row r="15" spans="1:11" x14ac:dyDescent="0.2">
      <c r="A15" s="76" t="s">
        <v>123</v>
      </c>
      <c r="B15" s="77"/>
      <c r="C15" s="77"/>
      <c r="D15" s="77"/>
      <c r="E15" s="77"/>
      <c r="H15" s="92"/>
      <c r="I15" s="93"/>
      <c r="J15" s="93"/>
      <c r="K15" s="94"/>
    </row>
    <row r="16" spans="1:11" x14ac:dyDescent="0.2">
      <c r="A16" s="31"/>
      <c r="H16" s="92"/>
      <c r="I16" s="93"/>
      <c r="J16" s="93"/>
      <c r="K16" s="94"/>
    </row>
    <row r="17" spans="1:11" x14ac:dyDescent="0.2">
      <c r="A17" t="s">
        <v>270</v>
      </c>
      <c r="H17" s="92"/>
      <c r="I17" s="93"/>
      <c r="J17" s="93"/>
      <c r="K17" s="94"/>
    </row>
    <row r="18" spans="1:11" x14ac:dyDescent="0.2">
      <c r="A18" t="s">
        <v>271</v>
      </c>
      <c r="H18" s="92"/>
      <c r="I18" s="93"/>
      <c r="J18" s="93"/>
      <c r="K18" s="94"/>
    </row>
    <row r="19" spans="1:11" x14ac:dyDescent="0.2">
      <c r="H19" s="78" t="s">
        <v>220</v>
      </c>
      <c r="I19" s="79"/>
      <c r="J19" s="79"/>
      <c r="K19" s="80"/>
    </row>
    <row r="20" spans="1:11" x14ac:dyDescent="0.2">
      <c r="H20" s="81" t="s">
        <v>198</v>
      </c>
      <c r="I20" s="82"/>
      <c r="J20" s="82"/>
      <c r="K20" s="83"/>
    </row>
    <row r="21" spans="1:11" x14ac:dyDescent="0.2">
      <c r="A21" s="87" t="s">
        <v>221</v>
      </c>
      <c r="B21" s="75"/>
      <c r="C21" s="95"/>
    </row>
    <row r="22" spans="1:11" x14ac:dyDescent="0.2">
      <c r="A22" s="72" t="s">
        <v>233</v>
      </c>
    </row>
    <row r="23" spans="1:11" x14ac:dyDescent="0.2">
      <c r="A23" s="72" t="s">
        <v>272</v>
      </c>
    </row>
    <row r="24" spans="1:11" x14ac:dyDescent="0.2">
      <c r="A24" s="72" t="s">
        <v>234</v>
      </c>
    </row>
    <row r="26" spans="1:11" x14ac:dyDescent="0.2">
      <c r="A26" s="88" t="s">
        <v>238</v>
      </c>
      <c r="B26" s="75"/>
    </row>
    <row r="27" spans="1:11" x14ac:dyDescent="0.2">
      <c r="A27" s="85" t="s">
        <v>235</v>
      </c>
    </row>
    <row r="28" spans="1:11" x14ac:dyDescent="0.2">
      <c r="A28" s="84" t="s">
        <v>236</v>
      </c>
    </row>
    <row r="29" spans="1:11" x14ac:dyDescent="0.2">
      <c r="A29" s="72" t="s">
        <v>237</v>
      </c>
    </row>
  </sheetData>
  <phoneticPr fontId="0" type="noConversion"/>
  <pageMargins left="0.75" right="0.75" top="1" bottom="1" header="0.5" footer="0.5"/>
  <headerFooter alignWithMargins="0"/>
  <drawing r:id="rId1"/>
  <legacyDrawing r:id="rId2"/>
  <oleObjects>
    <mc:AlternateContent xmlns:mc="http://schemas.openxmlformats.org/markup-compatibility/2006">
      <mc:Choice Requires="x14">
        <oleObject progId="Photoshop.Image.6" shapeId="1025" r:id="rId3">
          <objectPr defaultSize="0" r:id="rId4">
            <anchor moveWithCells="1">
              <from>
                <xdr:col>7</xdr:col>
                <xdr:colOff>542925</xdr:colOff>
                <xdr:row>12</xdr:row>
                <xdr:rowOff>66675</xdr:rowOff>
              </from>
              <to>
                <xdr:col>9</xdr:col>
                <xdr:colOff>457200</xdr:colOff>
                <xdr:row>17</xdr:row>
                <xdr:rowOff>133350</xdr:rowOff>
              </to>
            </anchor>
          </objectPr>
        </oleObject>
      </mc:Choice>
      <mc:Fallback>
        <oleObject progId="Photoshop.Image.6" shapeId="1025" r:id="rId3"/>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F58"/>
  <sheetViews>
    <sheetView topLeftCell="A16" workbookViewId="0">
      <selection activeCell="D56" sqref="D56"/>
    </sheetView>
  </sheetViews>
  <sheetFormatPr defaultColWidth="8.85546875" defaultRowHeight="12.75" x14ac:dyDescent="0.2"/>
  <cols>
    <col min="1" max="1" width="22" customWidth="1"/>
    <col min="4" max="4" width="19" customWidth="1"/>
    <col min="10" max="10" width="13.28515625" customWidth="1"/>
  </cols>
  <sheetData>
    <row r="1" spans="1:6" x14ac:dyDescent="0.2">
      <c r="A1" s="25" t="s">
        <v>41</v>
      </c>
      <c r="B1" s="2" t="s">
        <v>72</v>
      </c>
      <c r="C1" s="2" t="s">
        <v>71</v>
      </c>
      <c r="D1" s="24" t="s">
        <v>73</v>
      </c>
      <c r="E1" s="19" t="s">
        <v>74</v>
      </c>
      <c r="F1" s="19" t="s">
        <v>71</v>
      </c>
    </row>
    <row r="2" spans="1:6" x14ac:dyDescent="0.2">
      <c r="A2" s="2" t="s">
        <v>39</v>
      </c>
      <c r="B2" s="33">
        <f>'4. MAIN (START)+Summary'!C3</f>
        <v>0.52</v>
      </c>
      <c r="C2" s="2" t="s">
        <v>76</v>
      </c>
      <c r="D2" s="19"/>
      <c r="E2" s="19"/>
      <c r="F2" s="19"/>
    </row>
    <row r="3" spans="1:6" x14ac:dyDescent="0.2">
      <c r="A3" s="2" t="s">
        <v>34</v>
      </c>
      <c r="B3" s="33">
        <f>'4. MAIN (START)+Summary'!C4</f>
        <v>1.53</v>
      </c>
      <c r="C3" s="2"/>
      <c r="D3" s="19"/>
      <c r="E3" s="19"/>
      <c r="F3" s="19"/>
    </row>
    <row r="4" spans="1:6" x14ac:dyDescent="0.2">
      <c r="A4" s="2"/>
      <c r="B4" s="2"/>
      <c r="C4" s="2"/>
      <c r="D4" s="24" t="s">
        <v>38</v>
      </c>
      <c r="E4" s="20">
        <f>B2*(10^(1.67*LOG(B3)))</f>
        <v>1.0578839620486624</v>
      </c>
      <c r="F4" s="19" t="s">
        <v>76</v>
      </c>
    </row>
    <row r="5" spans="1:6" x14ac:dyDescent="0.2">
      <c r="A5" s="2" t="s">
        <v>79</v>
      </c>
      <c r="B5" s="33">
        <f>'4. MAIN (START)+Summary'!C5</f>
        <v>2.65</v>
      </c>
      <c r="C5" s="2" t="s">
        <v>78</v>
      </c>
      <c r="D5" s="1"/>
      <c r="E5" s="1"/>
      <c r="F5" s="1"/>
    </row>
    <row r="6" spans="1:6" x14ac:dyDescent="0.2">
      <c r="A6" s="5" t="s">
        <v>35</v>
      </c>
      <c r="B6" s="2"/>
      <c r="C6" s="1"/>
      <c r="D6" s="1"/>
      <c r="E6" s="1"/>
      <c r="F6" s="1"/>
    </row>
    <row r="7" spans="1:6" x14ac:dyDescent="0.2">
      <c r="A7" s="5" t="s">
        <v>42</v>
      </c>
      <c r="B7" s="2"/>
      <c r="C7" s="1"/>
      <c r="D7" s="1"/>
      <c r="E7" s="1"/>
      <c r="F7" s="1"/>
    </row>
    <row r="8" spans="1:6" x14ac:dyDescent="0.2">
      <c r="A8" s="1" t="s">
        <v>80</v>
      </c>
      <c r="B8" s="4">
        <v>1.7809999999999999E-2</v>
      </c>
      <c r="C8" s="1" t="s">
        <v>94</v>
      </c>
      <c r="D8" s="19" t="s">
        <v>97</v>
      </c>
      <c r="E8" s="19">
        <f t="shared" ref="E8:E14" si="0">(($E$4/10)^3*B16*($B$5-B16)*$B$24)/(B8)^2</f>
        <v>6040.9464083932116</v>
      </c>
      <c r="F8" s="19" t="s">
        <v>111</v>
      </c>
    </row>
    <row r="9" spans="1:6" x14ac:dyDescent="0.2">
      <c r="A9" s="1" t="s">
        <v>81</v>
      </c>
      <c r="B9" s="4">
        <v>1.5189999999999999E-2</v>
      </c>
      <c r="C9" s="1" t="s">
        <v>94</v>
      </c>
      <c r="D9" s="19" t="s">
        <v>98</v>
      </c>
      <c r="E9" s="19">
        <f t="shared" si="0"/>
        <v>8305.2269235468357</v>
      </c>
      <c r="F9" s="19" t="s">
        <v>111</v>
      </c>
    </row>
    <row r="10" spans="1:6" x14ac:dyDescent="0.2">
      <c r="A10" s="1" t="s">
        <v>82</v>
      </c>
      <c r="B10" s="4">
        <v>1.307E-2</v>
      </c>
      <c r="C10" s="1" t="s">
        <v>94</v>
      </c>
      <c r="D10" s="19" t="s">
        <v>101</v>
      </c>
      <c r="E10" s="19">
        <f t="shared" si="0"/>
        <v>11216.684990055899</v>
      </c>
      <c r="F10" s="19" t="s">
        <v>111</v>
      </c>
    </row>
    <row r="11" spans="1:6" x14ac:dyDescent="0.2">
      <c r="A11" s="1" t="s">
        <v>83</v>
      </c>
      <c r="B11" s="4">
        <v>1.1390000000000001E-2</v>
      </c>
      <c r="C11" s="1" t="s">
        <v>94</v>
      </c>
      <c r="D11" s="19" t="s">
        <v>99</v>
      </c>
      <c r="E11" s="19">
        <f t="shared" si="0"/>
        <v>14766.08571207245</v>
      </c>
      <c r="F11" s="19" t="s">
        <v>111</v>
      </c>
    </row>
    <row r="12" spans="1:6" x14ac:dyDescent="0.2">
      <c r="A12" s="1" t="s">
        <v>84</v>
      </c>
      <c r="B12" s="4">
        <v>1.0019999999999999E-2</v>
      </c>
      <c r="C12" s="1" t="s">
        <v>94</v>
      </c>
      <c r="D12" s="19" t="s">
        <v>102</v>
      </c>
      <c r="E12" s="19">
        <f t="shared" si="0"/>
        <v>19073.161710377135</v>
      </c>
      <c r="F12" s="19" t="s">
        <v>111</v>
      </c>
    </row>
    <row r="13" spans="1:6" x14ac:dyDescent="0.2">
      <c r="A13" s="1" t="s">
        <v>85</v>
      </c>
      <c r="B13" s="4">
        <v>8.8999999999999999E-3</v>
      </c>
      <c r="C13" s="1" t="s">
        <v>94</v>
      </c>
      <c r="D13" s="19" t="s">
        <v>100</v>
      </c>
      <c r="E13" s="19">
        <f t="shared" si="0"/>
        <v>24164.126759530525</v>
      </c>
      <c r="F13" s="19" t="s">
        <v>111</v>
      </c>
    </row>
    <row r="14" spans="1:6" x14ac:dyDescent="0.2">
      <c r="A14" s="1" t="s">
        <v>86</v>
      </c>
      <c r="B14" s="4">
        <v>7.980000000000001E-3</v>
      </c>
      <c r="C14" s="1" t="s">
        <v>94</v>
      </c>
      <c r="D14" s="19" t="s">
        <v>103</v>
      </c>
      <c r="E14" s="19">
        <f t="shared" si="0"/>
        <v>30041.395358699028</v>
      </c>
      <c r="F14" s="19" t="s">
        <v>111</v>
      </c>
    </row>
    <row r="15" spans="1:6" x14ac:dyDescent="0.2">
      <c r="A15" s="5" t="s">
        <v>8</v>
      </c>
      <c r="B15" s="4"/>
      <c r="C15" s="1"/>
      <c r="D15" s="19"/>
      <c r="E15" s="19"/>
      <c r="F15" s="19"/>
    </row>
    <row r="16" spans="1:6" x14ac:dyDescent="0.2">
      <c r="A16" s="1" t="s">
        <v>87</v>
      </c>
      <c r="B16" s="4">
        <v>0.99980000000000002</v>
      </c>
      <c r="C16" s="1" t="s">
        <v>78</v>
      </c>
      <c r="D16" s="19" t="s">
        <v>104</v>
      </c>
      <c r="E16" s="19">
        <f t="shared" ref="E16:E22" si="1">(B8/(B16*$E$4/10))*SQRT(33.7^2+0.0408*E8)-(33.7*B8)/(B16*$E$4/10)</f>
        <v>0.58555810270256359</v>
      </c>
      <c r="F16" s="19" t="s">
        <v>112</v>
      </c>
    </row>
    <row r="17" spans="1:6" x14ac:dyDescent="0.2">
      <c r="A17" s="1" t="s">
        <v>88</v>
      </c>
      <c r="B17" s="4">
        <v>1</v>
      </c>
      <c r="C17" s="1" t="s">
        <v>78</v>
      </c>
      <c r="D17" s="19" t="s">
        <v>105</v>
      </c>
      <c r="E17" s="19">
        <f t="shared" si="1"/>
        <v>0.67483477683642246</v>
      </c>
      <c r="F17" s="19" t="s">
        <v>112</v>
      </c>
    </row>
    <row r="18" spans="1:6" x14ac:dyDescent="0.2">
      <c r="A18" s="1" t="s">
        <v>89</v>
      </c>
      <c r="B18" s="4">
        <v>0.99970000000000003</v>
      </c>
      <c r="C18" s="1" t="s">
        <v>78</v>
      </c>
      <c r="D18" s="19" t="s">
        <v>106</v>
      </c>
      <c r="E18" s="19">
        <f t="shared" si="1"/>
        <v>0.76827571264067451</v>
      </c>
      <c r="F18" s="19" t="s">
        <v>112</v>
      </c>
    </row>
    <row r="19" spans="1:6" x14ac:dyDescent="0.2">
      <c r="A19" s="1" t="s">
        <v>90</v>
      </c>
      <c r="B19" s="4">
        <v>0.99909999999999999</v>
      </c>
      <c r="C19" s="1" t="s">
        <v>78</v>
      </c>
      <c r="D19" s="19" t="s">
        <v>107</v>
      </c>
      <c r="E19" s="19">
        <f t="shared" si="1"/>
        <v>0.86115693886955791</v>
      </c>
      <c r="F19" s="19" t="s">
        <v>112</v>
      </c>
    </row>
    <row r="20" spans="1:6" x14ac:dyDescent="0.2">
      <c r="A20" s="1" t="s">
        <v>91</v>
      </c>
      <c r="B20" s="4">
        <v>0.99819999999999998</v>
      </c>
      <c r="C20" s="1" t="s">
        <v>78</v>
      </c>
      <c r="D20" s="19" t="s">
        <v>108</v>
      </c>
      <c r="E20" s="19">
        <f t="shared" si="1"/>
        <v>0.95342288332189495</v>
      </c>
      <c r="F20" s="19" t="s">
        <v>112</v>
      </c>
    </row>
    <row r="21" spans="1:6" x14ac:dyDescent="0.2">
      <c r="A21" s="1" t="s">
        <v>92</v>
      </c>
      <c r="B21" s="4">
        <v>0.997</v>
      </c>
      <c r="C21" s="1" t="s">
        <v>78</v>
      </c>
      <c r="D21" s="19" t="s">
        <v>109</v>
      </c>
      <c r="E21" s="19">
        <f t="shared" si="1"/>
        <v>1.0430358314800157</v>
      </c>
      <c r="F21" s="19" t="s">
        <v>112</v>
      </c>
    </row>
    <row r="22" spans="1:6" x14ac:dyDescent="0.2">
      <c r="A22" s="1" t="s">
        <v>93</v>
      </c>
      <c r="B22" s="4">
        <v>0.99570000000000003</v>
      </c>
      <c r="C22" s="1" t="s">
        <v>78</v>
      </c>
      <c r="D22" s="19" t="s">
        <v>110</v>
      </c>
      <c r="E22" s="19">
        <f t="shared" si="1"/>
        <v>1.1283616807928372</v>
      </c>
      <c r="F22" s="19" t="s">
        <v>112</v>
      </c>
    </row>
    <row r="23" spans="1:6" x14ac:dyDescent="0.2">
      <c r="A23" s="1"/>
      <c r="B23" s="3"/>
      <c r="C23" s="1"/>
      <c r="D23" s="19"/>
      <c r="E23" s="19"/>
      <c r="F23" s="19"/>
    </row>
    <row r="24" spans="1:6" x14ac:dyDescent="0.2">
      <c r="A24" s="1" t="s">
        <v>95</v>
      </c>
      <c r="B24" s="4">
        <v>981</v>
      </c>
      <c r="C24" s="1" t="s">
        <v>96</v>
      </c>
      <c r="D24" s="5" t="s">
        <v>113</v>
      </c>
      <c r="E24" s="1"/>
      <c r="F24" s="1"/>
    </row>
    <row r="25" spans="1:6" x14ac:dyDescent="0.2">
      <c r="D25" s="4" t="s">
        <v>352</v>
      </c>
      <c r="E25" s="6">
        <f>E16*60*60/100</f>
        <v>21.080091697292293</v>
      </c>
      <c r="F25" s="1" t="s">
        <v>115</v>
      </c>
    </row>
    <row r="26" spans="1:6" x14ac:dyDescent="0.2">
      <c r="D26" s="224" t="s">
        <v>346</v>
      </c>
      <c r="E26" s="6">
        <f t="shared" ref="E26:E31" si="2">E17*60*60/100</f>
        <v>24.294051966111205</v>
      </c>
      <c r="F26" s="1" t="s">
        <v>115</v>
      </c>
    </row>
    <row r="27" spans="1:6" x14ac:dyDescent="0.2">
      <c r="D27" s="4" t="s">
        <v>347</v>
      </c>
      <c r="E27" s="6">
        <f t="shared" si="2"/>
        <v>27.657925655064282</v>
      </c>
      <c r="F27" s="1" t="s">
        <v>115</v>
      </c>
    </row>
    <row r="28" spans="1:6" x14ac:dyDescent="0.2">
      <c r="D28" s="4" t="s">
        <v>348</v>
      </c>
      <c r="E28" s="6">
        <f t="shared" si="2"/>
        <v>31.001649799304086</v>
      </c>
      <c r="F28" s="1" t="s">
        <v>115</v>
      </c>
    </row>
    <row r="29" spans="1:6" x14ac:dyDescent="0.2">
      <c r="D29" s="4" t="s">
        <v>349</v>
      </c>
      <c r="E29" s="6">
        <f t="shared" si="2"/>
        <v>34.32322379958822</v>
      </c>
      <c r="F29" s="1" t="s">
        <v>115</v>
      </c>
    </row>
    <row r="30" spans="1:6" x14ac:dyDescent="0.2">
      <c r="D30" s="4" t="s">
        <v>350</v>
      </c>
      <c r="E30" s="6">
        <f t="shared" si="2"/>
        <v>37.549289933280562</v>
      </c>
      <c r="F30" s="1" t="s">
        <v>115</v>
      </c>
    </row>
    <row r="31" spans="1:6" x14ac:dyDescent="0.2">
      <c r="D31" s="4" t="s">
        <v>351</v>
      </c>
      <c r="E31" s="6">
        <f t="shared" si="2"/>
        <v>40.621020508542145</v>
      </c>
      <c r="F31" s="1" t="s">
        <v>115</v>
      </c>
    </row>
    <row r="32" spans="1:6" x14ac:dyDescent="0.2">
      <c r="D32" s="1"/>
      <c r="E32" s="6"/>
      <c r="F32" s="1"/>
    </row>
    <row r="33" spans="1:6" x14ac:dyDescent="0.2">
      <c r="D33" s="4" t="s">
        <v>352</v>
      </c>
      <c r="E33" s="47">
        <f>E16/1000/3.785*929*60</f>
        <v>8.6232519536699854</v>
      </c>
      <c r="F33" s="1" t="s">
        <v>114</v>
      </c>
    </row>
    <row r="34" spans="1:6" x14ac:dyDescent="0.2">
      <c r="A34" s="12" t="s">
        <v>45</v>
      </c>
      <c r="D34" s="224" t="s">
        <v>346</v>
      </c>
      <c r="E34" s="47">
        <f t="shared" ref="E34:E39" si="3">E17/1000/3.785*929*60</f>
        <v>9.9379895537284497</v>
      </c>
      <c r="F34" s="1" t="s">
        <v>114</v>
      </c>
    </row>
    <row r="35" spans="1:6" x14ac:dyDescent="0.2">
      <c r="A35" t="s">
        <v>145</v>
      </c>
      <c r="D35" s="4" t="s">
        <v>347</v>
      </c>
      <c r="E35" s="47">
        <f t="shared" si="3"/>
        <v>11.314052370565706</v>
      </c>
      <c r="F35" s="1" t="s">
        <v>114</v>
      </c>
    </row>
    <row r="36" spans="1:6" x14ac:dyDescent="0.2">
      <c r="A36" t="s">
        <v>146</v>
      </c>
      <c r="D36" s="4" t="s">
        <v>348</v>
      </c>
      <c r="E36" s="47">
        <f t="shared" si="3"/>
        <v>12.68187259513584</v>
      </c>
      <c r="F36" s="1" t="s">
        <v>114</v>
      </c>
    </row>
    <row r="37" spans="1:6" x14ac:dyDescent="0.2">
      <c r="A37" t="s">
        <v>147</v>
      </c>
      <c r="D37" s="4" t="s">
        <v>349</v>
      </c>
      <c r="E37" s="47">
        <f t="shared" si="3"/>
        <v>14.040631840518476</v>
      </c>
      <c r="F37" s="1" t="s">
        <v>114</v>
      </c>
    </row>
    <row r="38" spans="1:6" x14ac:dyDescent="0.2">
      <c r="A38" t="s">
        <v>148</v>
      </c>
      <c r="D38" s="4" t="s">
        <v>350</v>
      </c>
      <c r="E38" s="47">
        <f t="shared" si="3"/>
        <v>15.360321597541894</v>
      </c>
      <c r="F38" s="1" t="s">
        <v>114</v>
      </c>
    </row>
    <row r="39" spans="1:6" x14ac:dyDescent="0.2">
      <c r="D39" s="4" t="s">
        <v>351</v>
      </c>
      <c r="E39" s="47">
        <f t="shared" si="3"/>
        <v>16.61687716972067</v>
      </c>
      <c r="F39" s="1" t="s">
        <v>114</v>
      </c>
    </row>
    <row r="42" spans="1:6" x14ac:dyDescent="0.2">
      <c r="C42" s="21" t="s">
        <v>40</v>
      </c>
      <c r="D42" s="215" t="s">
        <v>31</v>
      </c>
      <c r="E42" s="212"/>
      <c r="F42" s="213"/>
    </row>
    <row r="43" spans="1:6" x14ac:dyDescent="0.2">
      <c r="C43" s="16">
        <v>0</v>
      </c>
      <c r="D43" s="18">
        <f t="shared" ref="D43:D49" si="4">1.3*E25</f>
        <v>27.404119206479983</v>
      </c>
      <c r="E43" s="9" t="s">
        <v>115</v>
      </c>
      <c r="F43" s="1" t="s">
        <v>28</v>
      </c>
    </row>
    <row r="44" spans="1:6" x14ac:dyDescent="0.2">
      <c r="C44" s="16">
        <v>5</v>
      </c>
      <c r="D44" s="18">
        <f t="shared" si="4"/>
        <v>31.582267555944568</v>
      </c>
      <c r="E44" s="9" t="s">
        <v>115</v>
      </c>
      <c r="F44" s="6">
        <f t="shared" ref="F44:F49" si="5">D44/$D$47</f>
        <v>0.70780216065842472</v>
      </c>
    </row>
    <row r="45" spans="1:6" x14ac:dyDescent="0.2">
      <c r="C45" s="16">
        <v>10</v>
      </c>
      <c r="D45" s="18">
        <f t="shared" si="4"/>
        <v>35.955303351583566</v>
      </c>
      <c r="E45" s="9" t="s">
        <v>115</v>
      </c>
      <c r="F45" s="6">
        <f t="shared" si="5"/>
        <v>0.80580792225572062</v>
      </c>
    </row>
    <row r="46" spans="1:6" x14ac:dyDescent="0.2">
      <c r="C46" s="16">
        <v>15</v>
      </c>
      <c r="D46" s="18">
        <f t="shared" si="4"/>
        <v>40.302144739095311</v>
      </c>
      <c r="E46" s="9" t="s">
        <v>115</v>
      </c>
      <c r="F46" s="6">
        <f t="shared" si="5"/>
        <v>0.90322663105078194</v>
      </c>
    </row>
    <row r="47" spans="1:6" x14ac:dyDescent="0.2">
      <c r="C47" s="22">
        <v>20</v>
      </c>
      <c r="D47" s="23">
        <f t="shared" si="4"/>
        <v>44.620190939464685</v>
      </c>
      <c r="E47" s="15" t="s">
        <v>115</v>
      </c>
      <c r="F47" s="50">
        <f t="shared" si="5"/>
        <v>1</v>
      </c>
    </row>
    <row r="48" spans="1:6" x14ac:dyDescent="0.2">
      <c r="C48" s="16">
        <v>25</v>
      </c>
      <c r="D48" s="18">
        <f t="shared" si="4"/>
        <v>48.814076913264735</v>
      </c>
      <c r="E48" s="9" t="s">
        <v>115</v>
      </c>
      <c r="F48" s="6">
        <f t="shared" si="5"/>
        <v>1.0939907670832205</v>
      </c>
    </row>
    <row r="49" spans="1:6" x14ac:dyDescent="0.2">
      <c r="C49" s="16">
        <v>30</v>
      </c>
      <c r="D49" s="18">
        <f t="shared" si="4"/>
        <v>52.807326661104788</v>
      </c>
      <c r="E49" s="9" t="s">
        <v>115</v>
      </c>
      <c r="F49" s="6">
        <f t="shared" si="5"/>
        <v>1.1834849997111716</v>
      </c>
    </row>
    <row r="50" spans="1:6" x14ac:dyDescent="0.2">
      <c r="C50" s="16"/>
      <c r="D50" s="13"/>
      <c r="E50" s="9"/>
      <c r="F50" s="6"/>
    </row>
    <row r="51" spans="1:6" x14ac:dyDescent="0.2">
      <c r="C51" s="16">
        <v>0</v>
      </c>
      <c r="D51" s="48">
        <f t="shared" ref="D51:D57" si="6">1.3*E33</f>
        <v>11.210227539770981</v>
      </c>
      <c r="E51" s="9" t="s">
        <v>114</v>
      </c>
      <c r="F51" s="49">
        <f t="shared" ref="F51:F57" si="7">D51/$D$55</f>
        <v>0.61416409543514938</v>
      </c>
    </row>
    <row r="52" spans="1:6" x14ac:dyDescent="0.2">
      <c r="A52" s="43" t="s">
        <v>149</v>
      </c>
      <c r="C52" s="16">
        <v>5</v>
      </c>
      <c r="D52" s="48">
        <f t="shared" si="6"/>
        <v>12.919386419846985</v>
      </c>
      <c r="E52" s="9" t="s">
        <v>114</v>
      </c>
      <c r="F52" s="49">
        <f t="shared" si="7"/>
        <v>0.70780216065842461</v>
      </c>
    </row>
    <row r="53" spans="1:6" x14ac:dyDescent="0.2">
      <c r="A53" s="43" t="s">
        <v>150</v>
      </c>
      <c r="C53" s="16">
        <v>10</v>
      </c>
      <c r="D53" s="48">
        <f t="shared" si="6"/>
        <v>14.708268081735419</v>
      </c>
      <c r="E53" s="9" t="s">
        <v>114</v>
      </c>
      <c r="F53" s="49">
        <f t="shared" si="7"/>
        <v>0.80580792225572062</v>
      </c>
    </row>
    <row r="54" spans="1:6" x14ac:dyDescent="0.2">
      <c r="A54" s="43" t="s">
        <v>143</v>
      </c>
      <c r="C54" s="16">
        <v>15</v>
      </c>
      <c r="D54" s="48">
        <f t="shared" si="6"/>
        <v>16.486434373676591</v>
      </c>
      <c r="E54" s="9" t="s">
        <v>114</v>
      </c>
      <c r="F54" s="49">
        <f t="shared" si="7"/>
        <v>0.90322663105078171</v>
      </c>
    </row>
    <row r="55" spans="1:6" x14ac:dyDescent="0.2">
      <c r="A55" s="43" t="s">
        <v>151</v>
      </c>
      <c r="C55" s="22">
        <v>20</v>
      </c>
      <c r="D55" s="48">
        <f t="shared" si="6"/>
        <v>18.252821392674019</v>
      </c>
      <c r="E55" s="15" t="s">
        <v>114</v>
      </c>
      <c r="F55" s="47">
        <f t="shared" si="7"/>
        <v>1</v>
      </c>
    </row>
    <row r="56" spans="1:6" x14ac:dyDescent="0.2">
      <c r="A56" s="42" t="s">
        <v>43</v>
      </c>
      <c r="C56" s="68">
        <v>25</v>
      </c>
      <c r="D56" s="69">
        <f t="shared" si="6"/>
        <v>19.968418076804461</v>
      </c>
      <c r="E56" s="70" t="s">
        <v>114</v>
      </c>
      <c r="F56" s="49">
        <f t="shared" si="7"/>
        <v>1.0939907670832203</v>
      </c>
    </row>
    <row r="57" spans="1:6" x14ac:dyDescent="0.2">
      <c r="A57" s="40"/>
      <c r="C57" s="16">
        <v>30</v>
      </c>
      <c r="D57" s="48">
        <f t="shared" si="6"/>
        <v>21.601940320636871</v>
      </c>
      <c r="E57" s="9" t="s">
        <v>114</v>
      </c>
      <c r="F57" s="49">
        <f t="shared" si="7"/>
        <v>1.1834849997111712</v>
      </c>
    </row>
    <row r="58" spans="1:6" x14ac:dyDescent="0.2">
      <c r="A58" s="43" t="s">
        <v>152</v>
      </c>
    </row>
  </sheetData>
  <mergeCells count="1">
    <mergeCell ref="D42:F42"/>
  </mergeCells>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F58"/>
  <sheetViews>
    <sheetView topLeftCell="A16" workbookViewId="0">
      <selection activeCell="D56" sqref="D56"/>
    </sheetView>
  </sheetViews>
  <sheetFormatPr defaultColWidth="8.85546875" defaultRowHeight="12.75" x14ac:dyDescent="0.2"/>
  <cols>
    <col min="1" max="1" width="22" customWidth="1"/>
    <col min="4" max="4" width="19" customWidth="1"/>
    <col min="10" max="10" width="13.28515625" customWidth="1"/>
  </cols>
  <sheetData>
    <row r="1" spans="1:6" x14ac:dyDescent="0.2">
      <c r="A1" s="25" t="s">
        <v>41</v>
      </c>
      <c r="B1" s="2" t="s">
        <v>72</v>
      </c>
      <c r="C1" s="2" t="s">
        <v>71</v>
      </c>
      <c r="D1" s="24" t="s">
        <v>73</v>
      </c>
      <c r="E1" s="19" t="s">
        <v>74</v>
      </c>
      <c r="F1" s="19" t="s">
        <v>71</v>
      </c>
    </row>
    <row r="2" spans="1:6" x14ac:dyDescent="0.2">
      <c r="A2" s="2" t="s">
        <v>39</v>
      </c>
      <c r="B2" s="33">
        <f>'4. MAIN (START)+Summary'!C8</f>
        <v>1.01</v>
      </c>
      <c r="C2" s="2" t="s">
        <v>76</v>
      </c>
      <c r="D2" s="19"/>
      <c r="E2" s="19"/>
      <c r="F2" s="19"/>
    </row>
    <row r="3" spans="1:6" x14ac:dyDescent="0.2">
      <c r="A3" s="2" t="s">
        <v>34</v>
      </c>
      <c r="B3" s="33">
        <f>'4. MAIN (START)+Summary'!C9</f>
        <v>1.49</v>
      </c>
      <c r="C3" s="2"/>
      <c r="D3" s="19"/>
      <c r="E3" s="19"/>
      <c r="F3" s="19"/>
    </row>
    <row r="4" spans="1:6" x14ac:dyDescent="0.2">
      <c r="A4" s="2"/>
      <c r="B4" s="2"/>
      <c r="C4" s="2"/>
      <c r="D4" s="24" t="s">
        <v>38</v>
      </c>
      <c r="E4" s="20">
        <f>B2*(10^(1.67*LOG(B3)))</f>
        <v>1.9658140831037263</v>
      </c>
      <c r="F4" s="19" t="s">
        <v>76</v>
      </c>
    </row>
    <row r="5" spans="1:6" x14ac:dyDescent="0.2">
      <c r="A5" s="2" t="s">
        <v>79</v>
      </c>
      <c r="B5" s="33">
        <f>'4. MAIN (START)+Summary'!C10</f>
        <v>1.55</v>
      </c>
      <c r="C5" s="2" t="s">
        <v>78</v>
      </c>
      <c r="D5" s="1"/>
      <c r="E5" s="1"/>
      <c r="F5" s="1"/>
    </row>
    <row r="6" spans="1:6" x14ac:dyDescent="0.2">
      <c r="A6" s="5" t="s">
        <v>35</v>
      </c>
      <c r="B6" s="2"/>
      <c r="C6" s="1"/>
      <c r="D6" s="1"/>
      <c r="E6" s="1"/>
      <c r="F6" s="1"/>
    </row>
    <row r="7" spans="1:6" x14ac:dyDescent="0.2">
      <c r="A7" s="5" t="s">
        <v>42</v>
      </c>
      <c r="B7" s="2"/>
      <c r="C7" s="1"/>
      <c r="D7" s="1"/>
      <c r="E7" s="1"/>
      <c r="F7" s="1"/>
    </row>
    <row r="8" spans="1:6" x14ac:dyDescent="0.2">
      <c r="A8" s="1" t="s">
        <v>80</v>
      </c>
      <c r="B8" s="4">
        <v>1.7809999999999999E-2</v>
      </c>
      <c r="C8" s="1" t="s">
        <v>94</v>
      </c>
      <c r="D8" s="19" t="s">
        <v>97</v>
      </c>
      <c r="E8" s="19">
        <f t="shared" ref="E8:E14" si="0">(($E$4/10)^3*B16*($B$5-B16)*$B$24)/(B8)^2</f>
        <v>12924.156640495572</v>
      </c>
      <c r="F8" s="19" t="s">
        <v>111</v>
      </c>
    </row>
    <row r="9" spans="1:6" x14ac:dyDescent="0.2">
      <c r="A9" s="1" t="s">
        <v>81</v>
      </c>
      <c r="B9" s="4">
        <v>1.5189999999999999E-2</v>
      </c>
      <c r="C9" s="1" t="s">
        <v>94</v>
      </c>
      <c r="D9" s="19" t="s">
        <v>98</v>
      </c>
      <c r="E9" s="19">
        <f t="shared" si="0"/>
        <v>17764.110878090305</v>
      </c>
      <c r="F9" s="19" t="s">
        <v>111</v>
      </c>
    </row>
    <row r="10" spans="1:6" x14ac:dyDescent="0.2">
      <c r="A10" s="1" t="s">
        <v>82</v>
      </c>
      <c r="B10" s="4">
        <v>1.307E-2</v>
      </c>
      <c r="C10" s="1" t="s">
        <v>94</v>
      </c>
      <c r="D10" s="19" t="s">
        <v>101</v>
      </c>
      <c r="E10" s="19">
        <f t="shared" si="0"/>
        <v>24000.172502195463</v>
      </c>
      <c r="F10" s="19" t="s">
        <v>111</v>
      </c>
    </row>
    <row r="11" spans="1:6" x14ac:dyDescent="0.2">
      <c r="A11" s="1" t="s">
        <v>83</v>
      </c>
      <c r="B11" s="4">
        <v>1.1390000000000001E-2</v>
      </c>
      <c r="C11" s="1" t="s">
        <v>94</v>
      </c>
      <c r="D11" s="19" t="s">
        <v>99</v>
      </c>
      <c r="E11" s="19">
        <f t="shared" si="0"/>
        <v>31617.724917402651</v>
      </c>
      <c r="F11" s="19" t="s">
        <v>111</v>
      </c>
    </row>
    <row r="12" spans="1:6" x14ac:dyDescent="0.2">
      <c r="A12" s="1" t="s">
        <v>84</v>
      </c>
      <c r="B12" s="4">
        <v>1.0019999999999999E-2</v>
      </c>
      <c r="C12" s="1" t="s">
        <v>94</v>
      </c>
      <c r="D12" s="19" t="s">
        <v>102</v>
      </c>
      <c r="E12" s="19">
        <f t="shared" si="0"/>
        <v>40884.637557648333</v>
      </c>
      <c r="F12" s="19" t="s">
        <v>111</v>
      </c>
    </row>
    <row r="13" spans="1:6" x14ac:dyDescent="0.2">
      <c r="A13" s="1" t="s">
        <v>85</v>
      </c>
      <c r="B13" s="4">
        <v>8.8999999999999999E-3</v>
      </c>
      <c r="C13" s="1" t="s">
        <v>94</v>
      </c>
      <c r="D13" s="19" t="s">
        <v>100</v>
      </c>
      <c r="E13" s="19">
        <f t="shared" si="0"/>
        <v>51872.431971155325</v>
      </c>
      <c r="F13" s="19" t="s">
        <v>111</v>
      </c>
    </row>
    <row r="14" spans="1:6" x14ac:dyDescent="0.2">
      <c r="A14" s="1" t="s">
        <v>86</v>
      </c>
      <c r="B14" s="4">
        <v>7.980000000000001E-3</v>
      </c>
      <c r="C14" s="1" t="s">
        <v>94</v>
      </c>
      <c r="D14" s="19" t="s">
        <v>103</v>
      </c>
      <c r="E14" s="19">
        <f t="shared" si="0"/>
        <v>64589.799512885715</v>
      </c>
      <c r="F14" s="19" t="s">
        <v>111</v>
      </c>
    </row>
    <row r="15" spans="1:6" x14ac:dyDescent="0.2">
      <c r="A15" s="5" t="s">
        <v>8</v>
      </c>
      <c r="B15" s="4"/>
      <c r="C15" s="1"/>
      <c r="D15" s="19"/>
      <c r="E15" s="19"/>
      <c r="F15" s="19"/>
    </row>
    <row r="16" spans="1:6" x14ac:dyDescent="0.2">
      <c r="A16" s="1" t="s">
        <v>87</v>
      </c>
      <c r="B16" s="4">
        <v>0.99980000000000002</v>
      </c>
      <c r="C16" s="1" t="s">
        <v>78</v>
      </c>
      <c r="D16" s="19" t="s">
        <v>104</v>
      </c>
      <c r="E16" s="19">
        <f t="shared" ref="E16:E22" si="1">(B8/(B16*$E$4/10))*SQRT(33.7^2+0.0408*E8)-(33.7*B8)/(B16*$E$4/10)</f>
        <v>0.64155215616844519</v>
      </c>
      <c r="F16" s="19" t="s">
        <v>112</v>
      </c>
    </row>
    <row r="17" spans="1:6" x14ac:dyDescent="0.2">
      <c r="A17" s="1" t="s">
        <v>88</v>
      </c>
      <c r="B17" s="4">
        <v>1</v>
      </c>
      <c r="C17" s="1" t="s">
        <v>78</v>
      </c>
      <c r="D17" s="19" t="s">
        <v>105</v>
      </c>
      <c r="E17" s="19">
        <f t="shared" si="1"/>
        <v>0.72890431599945327</v>
      </c>
      <c r="F17" s="19" t="s">
        <v>112</v>
      </c>
    </row>
    <row r="18" spans="1:6" x14ac:dyDescent="0.2">
      <c r="A18" s="1" t="s">
        <v>89</v>
      </c>
      <c r="B18" s="4">
        <v>0.99970000000000003</v>
      </c>
      <c r="C18" s="1" t="s">
        <v>78</v>
      </c>
      <c r="D18" s="19" t="s">
        <v>106</v>
      </c>
      <c r="E18" s="19">
        <f t="shared" si="1"/>
        <v>0.81723131489297929</v>
      </c>
      <c r="F18" s="19" t="s">
        <v>112</v>
      </c>
    </row>
    <row r="19" spans="1:6" x14ac:dyDescent="0.2">
      <c r="A19" s="1" t="s">
        <v>90</v>
      </c>
      <c r="B19" s="4">
        <v>0.99909999999999999</v>
      </c>
      <c r="C19" s="1" t="s">
        <v>78</v>
      </c>
      <c r="D19" s="19" t="s">
        <v>107</v>
      </c>
      <c r="E19" s="19">
        <f t="shared" si="1"/>
        <v>0.90186133217322695</v>
      </c>
      <c r="F19" s="19" t="s">
        <v>112</v>
      </c>
    </row>
    <row r="20" spans="1:6" x14ac:dyDescent="0.2">
      <c r="A20" s="1" t="s">
        <v>91</v>
      </c>
      <c r="B20" s="4">
        <v>0.99819999999999998</v>
      </c>
      <c r="C20" s="1" t="s">
        <v>78</v>
      </c>
      <c r="D20" s="19" t="s">
        <v>108</v>
      </c>
      <c r="E20" s="19">
        <f t="shared" si="1"/>
        <v>0.98300480832515813</v>
      </c>
      <c r="F20" s="19" t="s">
        <v>112</v>
      </c>
    </row>
    <row r="21" spans="1:6" x14ac:dyDescent="0.2">
      <c r="A21" s="1" t="s">
        <v>92</v>
      </c>
      <c r="B21" s="4">
        <v>0.997</v>
      </c>
      <c r="C21" s="1" t="s">
        <v>78</v>
      </c>
      <c r="D21" s="19" t="s">
        <v>109</v>
      </c>
      <c r="E21" s="19">
        <f t="shared" si="1"/>
        <v>1.0592838620318721</v>
      </c>
      <c r="F21" s="19" t="s">
        <v>112</v>
      </c>
    </row>
    <row r="22" spans="1:6" x14ac:dyDescent="0.2">
      <c r="A22" s="1" t="s">
        <v>93</v>
      </c>
      <c r="B22" s="4">
        <v>0.99570000000000003</v>
      </c>
      <c r="C22" s="1" t="s">
        <v>78</v>
      </c>
      <c r="D22" s="19" t="s">
        <v>110</v>
      </c>
      <c r="E22" s="19">
        <f t="shared" si="1"/>
        <v>1.12963611996861</v>
      </c>
      <c r="F22" s="19" t="s">
        <v>112</v>
      </c>
    </row>
    <row r="23" spans="1:6" x14ac:dyDescent="0.2">
      <c r="A23" s="1"/>
      <c r="B23" s="3"/>
      <c r="C23" s="1"/>
      <c r="D23" s="19"/>
      <c r="E23" s="19"/>
      <c r="F23" s="19"/>
    </row>
    <row r="24" spans="1:6" x14ac:dyDescent="0.2">
      <c r="A24" s="1" t="s">
        <v>95</v>
      </c>
      <c r="B24" s="4">
        <v>981</v>
      </c>
      <c r="C24" s="1" t="s">
        <v>96</v>
      </c>
      <c r="D24" s="5" t="s">
        <v>113</v>
      </c>
      <c r="E24" s="1"/>
      <c r="F24" s="1"/>
    </row>
    <row r="25" spans="1:6" x14ac:dyDescent="0.2">
      <c r="D25" s="4" t="s">
        <v>352</v>
      </c>
      <c r="E25" s="6">
        <f t="shared" ref="E25:E31" si="2">E16*60*60/100</f>
        <v>23.095877622064027</v>
      </c>
      <c r="F25" s="1" t="s">
        <v>115</v>
      </c>
    </row>
    <row r="26" spans="1:6" x14ac:dyDescent="0.2">
      <c r="D26" s="224" t="s">
        <v>346</v>
      </c>
      <c r="E26" s="6">
        <f t="shared" si="2"/>
        <v>26.240555375980318</v>
      </c>
      <c r="F26" s="1" t="s">
        <v>115</v>
      </c>
    </row>
    <row r="27" spans="1:6" x14ac:dyDescent="0.2">
      <c r="D27" s="4" t="s">
        <v>347</v>
      </c>
      <c r="E27" s="6">
        <f t="shared" si="2"/>
        <v>29.420327336147256</v>
      </c>
      <c r="F27" s="1" t="s">
        <v>115</v>
      </c>
    </row>
    <row r="28" spans="1:6" x14ac:dyDescent="0.2">
      <c r="D28" s="4" t="s">
        <v>348</v>
      </c>
      <c r="E28" s="6">
        <f t="shared" si="2"/>
        <v>32.467007958236174</v>
      </c>
      <c r="F28" s="1" t="s">
        <v>115</v>
      </c>
    </row>
    <row r="29" spans="1:6" x14ac:dyDescent="0.2">
      <c r="D29" s="4" t="s">
        <v>349</v>
      </c>
      <c r="E29" s="6">
        <f t="shared" si="2"/>
        <v>35.388173099705689</v>
      </c>
      <c r="F29" s="1" t="s">
        <v>115</v>
      </c>
    </row>
    <row r="30" spans="1:6" x14ac:dyDescent="0.2">
      <c r="D30" s="4" t="s">
        <v>350</v>
      </c>
      <c r="E30" s="6">
        <f t="shared" si="2"/>
        <v>38.134219033147389</v>
      </c>
      <c r="F30" s="1" t="s">
        <v>115</v>
      </c>
    </row>
    <row r="31" spans="1:6" x14ac:dyDescent="0.2">
      <c r="D31" s="4" t="s">
        <v>351</v>
      </c>
      <c r="E31" s="6">
        <f t="shared" si="2"/>
        <v>40.666900318869963</v>
      </c>
      <c r="F31" s="1" t="s">
        <v>115</v>
      </c>
    </row>
    <row r="32" spans="1:6" x14ac:dyDescent="0.2">
      <c r="D32" s="1"/>
      <c r="E32" s="6"/>
      <c r="F32" s="1"/>
    </row>
    <row r="33" spans="1:6" x14ac:dyDescent="0.2">
      <c r="D33" s="4" t="s">
        <v>352</v>
      </c>
      <c r="E33" s="47">
        <f t="shared" ref="E33:E39" si="3">E16/1000/3.785*929*60</f>
        <v>9.4478513037857681</v>
      </c>
      <c r="F33" s="1" t="s">
        <v>114</v>
      </c>
    </row>
    <row r="34" spans="1:6" x14ac:dyDescent="0.2">
      <c r="A34" s="12" t="s">
        <v>45</v>
      </c>
      <c r="D34" s="224" t="s">
        <v>346</v>
      </c>
      <c r="E34" s="47">
        <f t="shared" si="3"/>
        <v>10.734247443542806</v>
      </c>
      <c r="F34" s="1" t="s">
        <v>114</v>
      </c>
    </row>
    <row r="35" spans="1:6" x14ac:dyDescent="0.2">
      <c r="A35" t="s">
        <v>145</v>
      </c>
      <c r="D35" s="4" t="s">
        <v>347</v>
      </c>
      <c r="E35" s="47">
        <f t="shared" si="3"/>
        <v>12.034999601620783</v>
      </c>
      <c r="F35" s="1" t="s">
        <v>114</v>
      </c>
    </row>
    <row r="36" spans="1:6" x14ac:dyDescent="0.2">
      <c r="A36" t="s">
        <v>146</v>
      </c>
      <c r="D36" s="4" t="s">
        <v>348</v>
      </c>
      <c r="E36" s="47">
        <f t="shared" si="3"/>
        <v>13.281307967063585</v>
      </c>
      <c r="F36" s="1" t="s">
        <v>114</v>
      </c>
    </row>
    <row r="37" spans="1:6" x14ac:dyDescent="0.2">
      <c r="A37" t="s">
        <v>147</v>
      </c>
      <c r="D37" s="4" t="s">
        <v>349</v>
      </c>
      <c r="E37" s="47">
        <f t="shared" si="3"/>
        <v>14.476271602653714</v>
      </c>
      <c r="F37" s="1" t="s">
        <v>114</v>
      </c>
    </row>
    <row r="38" spans="1:6" x14ac:dyDescent="0.2">
      <c r="A38" t="s">
        <v>148</v>
      </c>
      <c r="D38" s="4" t="s">
        <v>350</v>
      </c>
      <c r="E38" s="47">
        <f t="shared" si="3"/>
        <v>15.599599067280463</v>
      </c>
      <c r="F38" s="1" t="s">
        <v>114</v>
      </c>
    </row>
    <row r="39" spans="1:6" x14ac:dyDescent="0.2">
      <c r="D39" s="4" t="s">
        <v>351</v>
      </c>
      <c r="E39" s="47">
        <f t="shared" si="3"/>
        <v>16.63564526474249</v>
      </c>
      <c r="F39" s="1" t="s">
        <v>114</v>
      </c>
    </row>
    <row r="42" spans="1:6" x14ac:dyDescent="0.2">
      <c r="C42" s="21" t="s">
        <v>40</v>
      </c>
      <c r="D42" s="215" t="s">
        <v>31</v>
      </c>
      <c r="E42" s="212"/>
      <c r="F42" s="213"/>
    </row>
    <row r="43" spans="1:6" x14ac:dyDescent="0.2">
      <c r="C43" s="16">
        <v>0</v>
      </c>
      <c r="D43" s="18">
        <f t="shared" ref="D43:D49" si="4">1.3*E25</f>
        <v>30.024640908683235</v>
      </c>
      <c r="E43" s="9" t="s">
        <v>115</v>
      </c>
      <c r="F43" s="1" t="s">
        <v>28</v>
      </c>
    </row>
    <row r="44" spans="1:6" x14ac:dyDescent="0.2">
      <c r="C44" s="16">
        <v>5</v>
      </c>
      <c r="D44" s="18">
        <f t="shared" si="4"/>
        <v>34.112721988774418</v>
      </c>
      <c r="E44" s="9" t="s">
        <v>115</v>
      </c>
      <c r="F44" s="6">
        <f t="shared" ref="F44:F49" si="5">D44/$D$47</f>
        <v>0.74150635869356452</v>
      </c>
    </row>
    <row r="45" spans="1:6" x14ac:dyDescent="0.2">
      <c r="C45" s="16">
        <v>10</v>
      </c>
      <c r="D45" s="18">
        <f t="shared" si="4"/>
        <v>38.246425536991431</v>
      </c>
      <c r="E45" s="9" t="s">
        <v>115</v>
      </c>
      <c r="F45" s="6">
        <f t="shared" si="5"/>
        <v>0.83136044500675088</v>
      </c>
    </row>
    <row r="46" spans="1:6" x14ac:dyDescent="0.2">
      <c r="C46" s="16">
        <v>15</v>
      </c>
      <c r="D46" s="18">
        <f t="shared" si="4"/>
        <v>42.207110345707029</v>
      </c>
      <c r="E46" s="9" t="s">
        <v>115</v>
      </c>
      <c r="F46" s="6">
        <f t="shared" si="5"/>
        <v>0.91745363251052336</v>
      </c>
    </row>
    <row r="47" spans="1:6" x14ac:dyDescent="0.2">
      <c r="C47" s="22">
        <v>20</v>
      </c>
      <c r="D47" s="23">
        <f t="shared" si="4"/>
        <v>46.004625029617401</v>
      </c>
      <c r="E47" s="15" t="s">
        <v>115</v>
      </c>
      <c r="F47" s="50">
        <f t="shared" si="5"/>
        <v>1</v>
      </c>
    </row>
    <row r="48" spans="1:6" x14ac:dyDescent="0.2">
      <c r="C48" s="16">
        <v>25</v>
      </c>
      <c r="D48" s="18">
        <f t="shared" si="4"/>
        <v>49.57448474309161</v>
      </c>
      <c r="E48" s="9" t="s">
        <v>115</v>
      </c>
      <c r="F48" s="6">
        <f t="shared" si="5"/>
        <v>1.0775978439379945</v>
      </c>
    </row>
    <row r="49" spans="1:6" x14ac:dyDescent="0.2">
      <c r="C49" s="16">
        <v>30</v>
      </c>
      <c r="D49" s="18">
        <f t="shared" si="4"/>
        <v>52.866970414530954</v>
      </c>
      <c r="E49" s="9" t="s">
        <v>115</v>
      </c>
      <c r="F49" s="6">
        <f t="shared" si="5"/>
        <v>1.1491664236040535</v>
      </c>
    </row>
    <row r="50" spans="1:6" x14ac:dyDescent="0.2">
      <c r="C50" s="16"/>
      <c r="D50" s="13"/>
      <c r="E50" s="9"/>
      <c r="F50" s="44"/>
    </row>
    <row r="51" spans="1:6" x14ac:dyDescent="0.2">
      <c r="C51" s="16">
        <v>0</v>
      </c>
      <c r="D51" s="48">
        <f t="shared" ref="D51:D57" si="6">1.3*E33</f>
        <v>12.282206694921499</v>
      </c>
      <c r="E51" s="9" t="s">
        <v>114</v>
      </c>
      <c r="F51" s="49">
        <f t="shared" ref="F51:F57" si="7">D51/$D$55</f>
        <v>0.65264396545681258</v>
      </c>
    </row>
    <row r="52" spans="1:6" x14ac:dyDescent="0.2">
      <c r="A52" s="43" t="s">
        <v>149</v>
      </c>
      <c r="C52" s="16">
        <v>5</v>
      </c>
      <c r="D52" s="48">
        <f t="shared" si="6"/>
        <v>13.954521676605648</v>
      </c>
      <c r="E52" s="9" t="s">
        <v>114</v>
      </c>
      <c r="F52" s="49">
        <f t="shared" si="7"/>
        <v>0.7415063586935644</v>
      </c>
    </row>
    <row r="53" spans="1:6" x14ac:dyDescent="0.2">
      <c r="A53" s="43" t="s">
        <v>150</v>
      </c>
      <c r="C53" s="16">
        <v>10</v>
      </c>
      <c r="D53" s="48">
        <f t="shared" si="6"/>
        <v>15.645499482107018</v>
      </c>
      <c r="E53" s="9" t="s">
        <v>114</v>
      </c>
      <c r="F53" s="49">
        <f t="shared" si="7"/>
        <v>0.83136044500675088</v>
      </c>
    </row>
    <row r="54" spans="1:6" x14ac:dyDescent="0.2">
      <c r="A54" s="43" t="s">
        <v>143</v>
      </c>
      <c r="C54" s="16">
        <v>15</v>
      </c>
      <c r="D54" s="48">
        <f t="shared" si="6"/>
        <v>17.265700357182659</v>
      </c>
      <c r="E54" s="9" t="s">
        <v>114</v>
      </c>
      <c r="F54" s="49">
        <f t="shared" si="7"/>
        <v>0.91745363251052314</v>
      </c>
    </row>
    <row r="55" spans="1:6" x14ac:dyDescent="0.2">
      <c r="A55" s="43" t="s">
        <v>151</v>
      </c>
      <c r="C55" s="22">
        <v>20</v>
      </c>
      <c r="D55" s="48">
        <f t="shared" si="6"/>
        <v>18.81915308344983</v>
      </c>
      <c r="E55" s="15" t="s">
        <v>114</v>
      </c>
      <c r="F55" s="47">
        <f t="shared" si="7"/>
        <v>1</v>
      </c>
    </row>
    <row r="56" spans="1:6" x14ac:dyDescent="0.2">
      <c r="A56" s="42" t="s">
        <v>43</v>
      </c>
      <c r="C56" s="68">
        <v>25</v>
      </c>
      <c r="D56" s="69">
        <f t="shared" si="6"/>
        <v>20.279478787464605</v>
      </c>
      <c r="E56" s="70" t="s">
        <v>114</v>
      </c>
      <c r="F56" s="49">
        <f t="shared" si="7"/>
        <v>1.077597843937995</v>
      </c>
    </row>
    <row r="57" spans="1:6" x14ac:dyDescent="0.2">
      <c r="A57" s="40"/>
      <c r="C57" s="16">
        <v>30</v>
      </c>
      <c r="D57" s="48">
        <f t="shared" si="6"/>
        <v>21.626338844165236</v>
      </c>
      <c r="E57" s="9" t="s">
        <v>114</v>
      </c>
      <c r="F57" s="49">
        <f t="shared" si="7"/>
        <v>1.1491664236040535</v>
      </c>
    </row>
    <row r="58" spans="1:6" x14ac:dyDescent="0.2">
      <c r="A58" s="43" t="s">
        <v>152</v>
      </c>
    </row>
  </sheetData>
  <mergeCells count="1">
    <mergeCell ref="D42:F42"/>
  </mergeCells>
  <phoneticPr fontId="0" type="noConversion"/>
  <pageMargins left="0.75" right="0.75" top="1" bottom="1" header="0.5" footer="0.5"/>
  <pageSetup scale="8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FF"/>
  </sheetPr>
  <dimension ref="E1:R37"/>
  <sheetViews>
    <sheetView workbookViewId="0">
      <selection activeCell="N31" sqref="N31"/>
    </sheetView>
  </sheetViews>
  <sheetFormatPr defaultRowHeight="12.75" x14ac:dyDescent="0.2"/>
  <cols>
    <col min="6" max="6" width="4" customWidth="1"/>
    <col min="7" max="7" width="13.140625" customWidth="1"/>
    <col min="8" max="8" width="8.42578125" customWidth="1"/>
    <col min="9" max="9" width="10" customWidth="1"/>
    <col min="10" max="11" width="3.7109375" customWidth="1"/>
    <col min="17" max="17" width="12" customWidth="1"/>
    <col min="18" max="18" width="11.85546875" customWidth="1"/>
  </cols>
  <sheetData>
    <row r="1" spans="6:6" ht="23.25" x14ac:dyDescent="0.35">
      <c r="F1" s="109" t="s">
        <v>265</v>
      </c>
    </row>
    <row r="20" spans="5:18" x14ac:dyDescent="0.2">
      <c r="L20" s="41" t="s">
        <v>266</v>
      </c>
    </row>
    <row r="23" spans="5:18" x14ac:dyDescent="0.2">
      <c r="E23" s="12" t="s">
        <v>255</v>
      </c>
    </row>
    <row r="24" spans="5:18" x14ac:dyDescent="0.2">
      <c r="E24" t="s">
        <v>273</v>
      </c>
      <c r="R24" t="s">
        <v>264</v>
      </c>
    </row>
    <row r="26" spans="5:18" x14ac:dyDescent="0.2">
      <c r="E26" t="s">
        <v>256</v>
      </c>
    </row>
    <row r="27" spans="5:18" x14ac:dyDescent="0.2">
      <c r="E27" t="s">
        <v>257</v>
      </c>
    </row>
    <row r="28" spans="5:18" x14ac:dyDescent="0.2">
      <c r="E28" t="s">
        <v>258</v>
      </c>
    </row>
    <row r="29" spans="5:18" x14ac:dyDescent="0.2">
      <c r="E29" t="s">
        <v>259</v>
      </c>
    </row>
    <row r="30" spans="5:18" x14ac:dyDescent="0.2">
      <c r="E30" t="s">
        <v>260</v>
      </c>
    </row>
    <row r="31" spans="5:18" x14ac:dyDescent="0.2">
      <c r="E31" t="s">
        <v>261</v>
      </c>
    </row>
    <row r="32" spans="5:18" x14ac:dyDescent="0.2">
      <c r="E32" t="s">
        <v>262</v>
      </c>
    </row>
    <row r="33" spans="5:12" x14ac:dyDescent="0.2">
      <c r="E33" t="s">
        <v>263</v>
      </c>
    </row>
    <row r="35" spans="5:12" x14ac:dyDescent="0.2">
      <c r="E35" s="12" t="s">
        <v>282</v>
      </c>
    </row>
    <row r="36" spans="5:12" x14ac:dyDescent="0.2">
      <c r="E36" s="41" t="s">
        <v>353</v>
      </c>
      <c r="I36" s="110"/>
      <c r="J36" s="110"/>
      <c r="K36" s="225">
        <v>2</v>
      </c>
      <c r="L36" s="225" t="s">
        <v>283</v>
      </c>
    </row>
    <row r="37" spans="5:12" x14ac:dyDescent="0.2">
      <c r="E37" s="226" t="s">
        <v>284</v>
      </c>
      <c r="F37" s="227">
        <f>((39.5-(1.7*(K36)^2))/100*('11. Vmf-Anthracite'!E36+'10. Vmf-Sand'!E36)/2)</f>
        <v>4.2449800219196065</v>
      </c>
      <c r="G37" s="228" t="s">
        <v>114</v>
      </c>
      <c r="H37" s="112" t="s">
        <v>354</v>
      </c>
      <c r="I37" s="112"/>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8" shapeId="17409" r:id="rId4">
          <objectPr defaultSize="0" r:id="rId5">
            <anchor moveWithCells="1">
              <from>
                <xdr:col>4</xdr:col>
                <xdr:colOff>9525</xdr:colOff>
                <xdr:row>2</xdr:row>
                <xdr:rowOff>38100</xdr:rowOff>
              </from>
              <to>
                <xdr:col>16</xdr:col>
                <xdr:colOff>742950</xdr:colOff>
                <xdr:row>18</xdr:row>
                <xdr:rowOff>9525</xdr:rowOff>
              </to>
            </anchor>
          </objectPr>
        </oleObject>
      </mc:Choice>
      <mc:Fallback>
        <oleObject progId="Word.Document.8" shapeId="17409"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41"/>
  <sheetViews>
    <sheetView workbookViewId="0">
      <selection activeCell="C2" sqref="C2"/>
    </sheetView>
  </sheetViews>
  <sheetFormatPr defaultColWidth="8.85546875" defaultRowHeight="12.75" x14ac:dyDescent="0.2"/>
  <sheetData>
    <row r="1" spans="1:8" ht="15.75" x14ac:dyDescent="0.25">
      <c r="A1" s="17" t="s">
        <v>33</v>
      </c>
    </row>
    <row r="2" spans="1:8" x14ac:dyDescent="0.2">
      <c r="B2" t="s">
        <v>32</v>
      </c>
      <c r="C2" s="61">
        <f>'4. MAIN (START)+Summary'!C14</f>
        <v>392</v>
      </c>
      <c r="D2" t="s">
        <v>30</v>
      </c>
      <c r="G2" s="169">
        <f>C2/(3.281)^2</f>
        <v>36.414437544176884</v>
      </c>
      <c r="H2" s="41" t="s">
        <v>309</v>
      </c>
    </row>
    <row r="3" spans="1:8" x14ac:dyDescent="0.2">
      <c r="G3" s="12" t="s">
        <v>312</v>
      </c>
      <c r="H3" s="12"/>
    </row>
    <row r="4" spans="1:8" x14ac:dyDescent="0.2">
      <c r="A4" s="14" t="s">
        <v>29</v>
      </c>
      <c r="B4" s="14" t="s">
        <v>114</v>
      </c>
      <c r="C4" s="107" t="s">
        <v>253</v>
      </c>
      <c r="D4" s="14" t="s">
        <v>114</v>
      </c>
      <c r="E4" s="14" t="s">
        <v>29</v>
      </c>
      <c r="F4" s="107" t="s">
        <v>253</v>
      </c>
      <c r="G4" s="170" t="s">
        <v>310</v>
      </c>
      <c r="H4" s="170" t="s">
        <v>311</v>
      </c>
    </row>
    <row r="5" spans="1:8" x14ac:dyDescent="0.2">
      <c r="A5" s="14">
        <v>12500</v>
      </c>
      <c r="B5" s="14">
        <f>A5/$C$2</f>
        <v>31.887755102040817</v>
      </c>
      <c r="C5" s="108">
        <f>A5*3.785/60</f>
        <v>788.54166666666663</v>
      </c>
      <c r="D5" s="13">
        <v>20</v>
      </c>
      <c r="E5" s="13">
        <f>D5*$C$2</f>
        <v>7840</v>
      </c>
      <c r="F5" s="106">
        <f>D5/B5*C5</f>
        <v>494.57333333333327</v>
      </c>
      <c r="G5" s="32">
        <f>F5/1000*60/G$2</f>
        <v>0.81490754769999996</v>
      </c>
      <c r="H5" s="32">
        <f>G5*3.281</f>
        <v>2.6737116640037</v>
      </c>
    </row>
    <row r="6" spans="1:8" x14ac:dyDescent="0.2">
      <c r="A6" s="13">
        <f>A5-500</f>
        <v>12000</v>
      </c>
      <c r="B6" s="13">
        <f t="shared" ref="B6:B41" si="0">A6/$C$2</f>
        <v>30.612244897959183</v>
      </c>
      <c r="C6" s="106">
        <f t="shared" ref="C6:C41" si="1">A6*3.785/60</f>
        <v>757</v>
      </c>
      <c r="D6" s="13">
        <f>D5-0.5</f>
        <v>19.5</v>
      </c>
      <c r="E6" s="13">
        <f t="shared" ref="E6:E41" si="2">D6*$C$2</f>
        <v>7644</v>
      </c>
      <c r="F6" s="106">
        <f t="shared" ref="F6:F41" si="3">D6/B6*C6</f>
        <v>482.209</v>
      </c>
      <c r="G6" s="32">
        <f t="shared" ref="G6:G41" si="4">F6/1000*60/G$2</f>
        <v>0.79453485900750009</v>
      </c>
      <c r="H6" s="32">
        <f t="shared" ref="H6:H41" si="5">G6*3.281</f>
        <v>2.606868872403608</v>
      </c>
    </row>
    <row r="7" spans="1:8" x14ac:dyDescent="0.2">
      <c r="A7" s="13">
        <f t="shared" ref="A7:A25" si="6">A6-500</f>
        <v>11500</v>
      </c>
      <c r="B7" s="13">
        <f t="shared" si="0"/>
        <v>29.336734693877553</v>
      </c>
      <c r="C7" s="106">
        <f t="shared" si="1"/>
        <v>725.45833333333337</v>
      </c>
      <c r="D7" s="13">
        <f t="shared" ref="D7:D41" si="7">D6-0.5</f>
        <v>19</v>
      </c>
      <c r="E7" s="13">
        <f t="shared" si="2"/>
        <v>7448</v>
      </c>
      <c r="F7" s="106">
        <f t="shared" si="3"/>
        <v>469.84466666666663</v>
      </c>
      <c r="G7" s="32">
        <f t="shared" si="4"/>
        <v>0.77416217031500001</v>
      </c>
      <c r="H7" s="32">
        <f t="shared" si="5"/>
        <v>2.5400260808035151</v>
      </c>
    </row>
    <row r="8" spans="1:8" x14ac:dyDescent="0.2">
      <c r="A8" s="13">
        <f t="shared" si="6"/>
        <v>11000</v>
      </c>
      <c r="B8" s="13">
        <f t="shared" si="0"/>
        <v>28.061224489795919</v>
      </c>
      <c r="C8" s="106">
        <f t="shared" si="1"/>
        <v>693.91666666666663</v>
      </c>
      <c r="D8" s="13">
        <f t="shared" si="7"/>
        <v>18.5</v>
      </c>
      <c r="E8" s="13">
        <f t="shared" si="2"/>
        <v>7252</v>
      </c>
      <c r="F8" s="106">
        <f t="shared" si="3"/>
        <v>457.48033333333331</v>
      </c>
      <c r="G8" s="32">
        <f t="shared" si="4"/>
        <v>0.75378948162250003</v>
      </c>
      <c r="H8" s="32">
        <f t="shared" si="5"/>
        <v>2.4731832892034227</v>
      </c>
    </row>
    <row r="9" spans="1:8" x14ac:dyDescent="0.2">
      <c r="A9" s="13">
        <f t="shared" si="6"/>
        <v>10500</v>
      </c>
      <c r="B9" s="13">
        <f t="shared" si="0"/>
        <v>26.785714285714285</v>
      </c>
      <c r="C9" s="106">
        <f t="shared" si="1"/>
        <v>662.375</v>
      </c>
      <c r="D9" s="13">
        <f t="shared" si="7"/>
        <v>18</v>
      </c>
      <c r="E9" s="13">
        <f t="shared" si="2"/>
        <v>7056</v>
      </c>
      <c r="F9" s="106">
        <f t="shared" si="3"/>
        <v>445.11600000000004</v>
      </c>
      <c r="G9" s="32">
        <f t="shared" si="4"/>
        <v>0.73341679293000017</v>
      </c>
      <c r="H9" s="32">
        <f t="shared" si="5"/>
        <v>2.4063404976033307</v>
      </c>
    </row>
    <row r="10" spans="1:8" x14ac:dyDescent="0.2">
      <c r="A10" s="13">
        <f t="shared" si="6"/>
        <v>10000</v>
      </c>
      <c r="B10" s="13">
        <f t="shared" si="0"/>
        <v>25.510204081632654</v>
      </c>
      <c r="C10" s="106">
        <f t="shared" si="1"/>
        <v>630.83333333333337</v>
      </c>
      <c r="D10" s="13">
        <f t="shared" si="7"/>
        <v>17.5</v>
      </c>
      <c r="E10" s="13">
        <f t="shared" si="2"/>
        <v>6860</v>
      </c>
      <c r="F10" s="108">
        <f t="shared" si="3"/>
        <v>432.75166666666667</v>
      </c>
      <c r="G10" s="32">
        <f t="shared" si="4"/>
        <v>0.71304410423750009</v>
      </c>
      <c r="H10" s="32">
        <f t="shared" si="5"/>
        <v>2.3394977060032378</v>
      </c>
    </row>
    <row r="11" spans="1:8" x14ac:dyDescent="0.2">
      <c r="A11" s="13">
        <f t="shared" si="6"/>
        <v>9500</v>
      </c>
      <c r="B11" s="13">
        <f t="shared" si="0"/>
        <v>24.23469387755102</v>
      </c>
      <c r="C11" s="106">
        <f t="shared" si="1"/>
        <v>599.29166666666663</v>
      </c>
      <c r="D11" s="13">
        <f t="shared" si="7"/>
        <v>17</v>
      </c>
      <c r="E11" s="13">
        <f t="shared" si="2"/>
        <v>6664</v>
      </c>
      <c r="F11" s="106">
        <f t="shared" si="3"/>
        <v>420.38733333333334</v>
      </c>
      <c r="G11" s="32">
        <f t="shared" si="4"/>
        <v>0.69267141554500011</v>
      </c>
      <c r="H11" s="32">
        <f t="shared" si="5"/>
        <v>2.2726549144031454</v>
      </c>
    </row>
    <row r="12" spans="1:8" x14ac:dyDescent="0.2">
      <c r="A12" s="13">
        <f t="shared" si="6"/>
        <v>9000</v>
      </c>
      <c r="B12" s="13">
        <f t="shared" si="0"/>
        <v>22.959183673469386</v>
      </c>
      <c r="C12" s="108">
        <f t="shared" si="1"/>
        <v>567.75</v>
      </c>
      <c r="D12" s="13">
        <f t="shared" si="7"/>
        <v>16.5</v>
      </c>
      <c r="E12" s="13">
        <f t="shared" si="2"/>
        <v>6468</v>
      </c>
      <c r="F12" s="106">
        <f t="shared" si="3"/>
        <v>408.02300000000002</v>
      </c>
      <c r="G12" s="32">
        <f t="shared" si="4"/>
        <v>0.67229872685250014</v>
      </c>
      <c r="H12" s="32">
        <f t="shared" si="5"/>
        <v>2.2058121228030529</v>
      </c>
    </row>
    <row r="13" spans="1:8" x14ac:dyDescent="0.2">
      <c r="A13" s="13">
        <f t="shared" si="6"/>
        <v>8500</v>
      </c>
      <c r="B13" s="13">
        <f t="shared" si="0"/>
        <v>21.683673469387756</v>
      </c>
      <c r="C13" s="106">
        <f t="shared" si="1"/>
        <v>536.20833333333337</v>
      </c>
      <c r="D13" s="13">
        <f t="shared" si="7"/>
        <v>16</v>
      </c>
      <c r="E13" s="13">
        <f t="shared" si="2"/>
        <v>6272</v>
      </c>
      <c r="F13" s="106">
        <f t="shared" si="3"/>
        <v>395.65866666666665</v>
      </c>
      <c r="G13" s="32">
        <f t="shared" si="4"/>
        <v>0.65192603816000005</v>
      </c>
      <c r="H13" s="32">
        <f t="shared" si="5"/>
        <v>2.1389693312029601</v>
      </c>
    </row>
    <row r="14" spans="1:8" x14ac:dyDescent="0.2">
      <c r="A14" s="14">
        <f t="shared" si="6"/>
        <v>8000</v>
      </c>
      <c r="B14" s="14">
        <f t="shared" si="0"/>
        <v>20.408163265306122</v>
      </c>
      <c r="C14" s="106">
        <f t="shared" si="1"/>
        <v>504.66666666666669</v>
      </c>
      <c r="D14" s="13">
        <f t="shared" si="7"/>
        <v>15.5</v>
      </c>
      <c r="E14" s="13">
        <f t="shared" si="2"/>
        <v>6076</v>
      </c>
      <c r="F14" s="106">
        <f t="shared" si="3"/>
        <v>383.29433333333338</v>
      </c>
      <c r="G14" s="32">
        <f t="shared" si="4"/>
        <v>0.63155334946750019</v>
      </c>
      <c r="H14" s="32">
        <f t="shared" si="5"/>
        <v>2.0721265396028681</v>
      </c>
    </row>
    <row r="15" spans="1:8" x14ac:dyDescent="0.2">
      <c r="A15" s="13">
        <f t="shared" si="6"/>
        <v>7500</v>
      </c>
      <c r="B15" s="13">
        <f t="shared" si="0"/>
        <v>19.132653061224488</v>
      </c>
      <c r="C15" s="106">
        <f t="shared" si="1"/>
        <v>473.125</v>
      </c>
      <c r="D15" s="13">
        <f t="shared" si="7"/>
        <v>15</v>
      </c>
      <c r="E15" s="13">
        <f t="shared" si="2"/>
        <v>5880</v>
      </c>
      <c r="F15" s="106">
        <f t="shared" si="3"/>
        <v>370.93</v>
      </c>
      <c r="G15" s="32">
        <f t="shared" si="4"/>
        <v>0.61118066077500011</v>
      </c>
      <c r="H15" s="32">
        <f t="shared" si="5"/>
        <v>2.0052837480027756</v>
      </c>
    </row>
    <row r="16" spans="1:8" x14ac:dyDescent="0.2">
      <c r="A16" s="13">
        <f t="shared" si="6"/>
        <v>7000</v>
      </c>
      <c r="B16" s="13">
        <f t="shared" si="0"/>
        <v>17.857142857142858</v>
      </c>
      <c r="C16" s="106">
        <f t="shared" si="1"/>
        <v>441.58333333333331</v>
      </c>
      <c r="D16" s="13">
        <f t="shared" si="7"/>
        <v>14.5</v>
      </c>
      <c r="E16" s="13">
        <f t="shared" si="2"/>
        <v>5684</v>
      </c>
      <c r="F16" s="106">
        <f t="shared" si="3"/>
        <v>358.56566666666663</v>
      </c>
      <c r="G16" s="32">
        <f t="shared" si="4"/>
        <v>0.59080797208250002</v>
      </c>
      <c r="H16" s="32">
        <f t="shared" si="5"/>
        <v>1.9384409564026825</v>
      </c>
    </row>
    <row r="17" spans="1:8" x14ac:dyDescent="0.2">
      <c r="A17" s="13">
        <f t="shared" si="6"/>
        <v>6500</v>
      </c>
      <c r="B17" s="13">
        <f t="shared" si="0"/>
        <v>16.581632653061224</v>
      </c>
      <c r="C17" s="106">
        <f t="shared" si="1"/>
        <v>410.04166666666669</v>
      </c>
      <c r="D17" s="13">
        <f t="shared" si="7"/>
        <v>14</v>
      </c>
      <c r="E17" s="13">
        <f t="shared" si="2"/>
        <v>5488</v>
      </c>
      <c r="F17" s="106">
        <f t="shared" si="3"/>
        <v>346.20133333333337</v>
      </c>
      <c r="G17" s="32">
        <f t="shared" si="4"/>
        <v>0.57043528339000016</v>
      </c>
      <c r="H17" s="32">
        <f t="shared" si="5"/>
        <v>1.8715981648025906</v>
      </c>
    </row>
    <row r="18" spans="1:8" x14ac:dyDescent="0.2">
      <c r="A18" s="13">
        <f t="shared" si="6"/>
        <v>6000</v>
      </c>
      <c r="B18" s="13">
        <f t="shared" si="0"/>
        <v>15.306122448979592</v>
      </c>
      <c r="C18" s="106">
        <f t="shared" si="1"/>
        <v>378.5</v>
      </c>
      <c r="D18" s="13">
        <f t="shared" si="7"/>
        <v>13.5</v>
      </c>
      <c r="E18" s="13">
        <f t="shared" si="2"/>
        <v>5292</v>
      </c>
      <c r="F18" s="106">
        <f t="shared" si="3"/>
        <v>333.83699999999999</v>
      </c>
      <c r="G18" s="32">
        <f t="shared" si="4"/>
        <v>0.55006259469750007</v>
      </c>
      <c r="H18" s="32">
        <f t="shared" si="5"/>
        <v>1.8047553732024979</v>
      </c>
    </row>
    <row r="19" spans="1:8" x14ac:dyDescent="0.2">
      <c r="A19" s="13">
        <f t="shared" si="6"/>
        <v>5500</v>
      </c>
      <c r="B19" s="13">
        <f t="shared" si="0"/>
        <v>14.030612244897959</v>
      </c>
      <c r="C19" s="108">
        <f t="shared" si="1"/>
        <v>346.95833333333331</v>
      </c>
      <c r="D19" s="13">
        <f t="shared" si="7"/>
        <v>13</v>
      </c>
      <c r="E19" s="13">
        <f t="shared" si="2"/>
        <v>5096</v>
      </c>
      <c r="F19" s="106">
        <f t="shared" si="3"/>
        <v>321.47266666666667</v>
      </c>
      <c r="G19" s="32">
        <f t="shared" si="4"/>
        <v>0.5296899060050001</v>
      </c>
      <c r="H19" s="32">
        <f t="shared" si="5"/>
        <v>1.7379125816024055</v>
      </c>
    </row>
    <row r="20" spans="1:8" x14ac:dyDescent="0.2">
      <c r="A20" s="13">
        <f t="shared" si="6"/>
        <v>5000</v>
      </c>
      <c r="B20" s="13">
        <f t="shared" si="0"/>
        <v>12.755102040816327</v>
      </c>
      <c r="C20" s="106">
        <f t="shared" si="1"/>
        <v>315.41666666666669</v>
      </c>
      <c r="D20" s="13">
        <f t="shared" si="7"/>
        <v>12.5</v>
      </c>
      <c r="E20" s="13">
        <f t="shared" si="2"/>
        <v>4900</v>
      </c>
      <c r="F20" s="106">
        <f t="shared" si="3"/>
        <v>309.10833333333335</v>
      </c>
      <c r="G20" s="32">
        <f t="shared" si="4"/>
        <v>0.50931721731250013</v>
      </c>
      <c r="H20" s="32">
        <f t="shared" si="5"/>
        <v>1.671069790002313</v>
      </c>
    </row>
    <row r="21" spans="1:8" x14ac:dyDescent="0.2">
      <c r="A21" s="13">
        <f t="shared" si="6"/>
        <v>4500</v>
      </c>
      <c r="B21" s="13">
        <f t="shared" si="0"/>
        <v>11.479591836734693</v>
      </c>
      <c r="C21" s="106">
        <f t="shared" si="1"/>
        <v>283.875</v>
      </c>
      <c r="D21" s="14">
        <f t="shared" si="7"/>
        <v>12</v>
      </c>
      <c r="E21" s="14">
        <f t="shared" si="2"/>
        <v>4704</v>
      </c>
      <c r="F21" s="108">
        <f t="shared" si="3"/>
        <v>296.74400000000003</v>
      </c>
      <c r="G21" s="32">
        <f t="shared" si="4"/>
        <v>0.48894452862000004</v>
      </c>
      <c r="H21" s="32">
        <f t="shared" si="5"/>
        <v>1.6042269984022202</v>
      </c>
    </row>
    <row r="22" spans="1:8" x14ac:dyDescent="0.2">
      <c r="A22" s="14">
        <f>A21-500</f>
        <v>4000</v>
      </c>
      <c r="B22" s="14">
        <f t="shared" si="0"/>
        <v>10.204081632653061</v>
      </c>
      <c r="C22" s="106">
        <f t="shared" si="1"/>
        <v>252.33333333333334</v>
      </c>
      <c r="D22" s="13">
        <f t="shared" si="7"/>
        <v>11.5</v>
      </c>
      <c r="E22" s="13">
        <f t="shared" si="2"/>
        <v>4508</v>
      </c>
      <c r="F22" s="106">
        <f t="shared" si="3"/>
        <v>284.37966666666665</v>
      </c>
      <c r="G22" s="32">
        <f t="shared" si="4"/>
        <v>0.46857183992750007</v>
      </c>
      <c r="H22" s="32">
        <f t="shared" si="5"/>
        <v>1.5373842068021277</v>
      </c>
    </row>
    <row r="23" spans="1:8" x14ac:dyDescent="0.2">
      <c r="A23" s="13">
        <f t="shared" si="6"/>
        <v>3500</v>
      </c>
      <c r="B23" s="13">
        <f t="shared" si="0"/>
        <v>8.9285714285714288</v>
      </c>
      <c r="C23" s="106">
        <f t="shared" si="1"/>
        <v>220.79166666666666</v>
      </c>
      <c r="D23" s="13">
        <f t="shared" si="7"/>
        <v>11</v>
      </c>
      <c r="E23" s="13">
        <f t="shared" si="2"/>
        <v>4312</v>
      </c>
      <c r="F23" s="106">
        <f t="shared" si="3"/>
        <v>272.01533333333333</v>
      </c>
      <c r="G23" s="32">
        <f t="shared" si="4"/>
        <v>0.44819915123500009</v>
      </c>
      <c r="H23" s="32">
        <f t="shared" si="5"/>
        <v>1.4705414152020353</v>
      </c>
    </row>
    <row r="24" spans="1:8" x14ac:dyDescent="0.2">
      <c r="A24" s="13">
        <f t="shared" si="6"/>
        <v>3000</v>
      </c>
      <c r="B24" s="13">
        <f t="shared" si="0"/>
        <v>7.6530612244897958</v>
      </c>
      <c r="C24" s="106">
        <f t="shared" si="1"/>
        <v>189.25</v>
      </c>
      <c r="D24" s="13">
        <f t="shared" si="7"/>
        <v>10.5</v>
      </c>
      <c r="E24" s="13">
        <f t="shared" si="2"/>
        <v>4116</v>
      </c>
      <c r="F24" s="106">
        <f t="shared" si="3"/>
        <v>259.65100000000001</v>
      </c>
      <c r="G24" s="32">
        <f t="shared" si="4"/>
        <v>0.42782646254250012</v>
      </c>
      <c r="H24" s="32">
        <f t="shared" si="5"/>
        <v>1.4036986236019429</v>
      </c>
    </row>
    <row r="25" spans="1:8" x14ac:dyDescent="0.2">
      <c r="A25" s="13">
        <f t="shared" si="6"/>
        <v>2500</v>
      </c>
      <c r="B25" s="13">
        <f t="shared" si="0"/>
        <v>6.3775510204081636</v>
      </c>
      <c r="C25" s="106">
        <f t="shared" si="1"/>
        <v>157.70833333333334</v>
      </c>
      <c r="D25" s="14">
        <f t="shared" si="7"/>
        <v>10</v>
      </c>
      <c r="E25" s="14">
        <f t="shared" si="2"/>
        <v>3920</v>
      </c>
      <c r="F25" s="106">
        <f t="shared" si="3"/>
        <v>247.28666666666666</v>
      </c>
      <c r="G25" s="32">
        <f t="shared" si="4"/>
        <v>0.40745377385000003</v>
      </c>
      <c r="H25" s="32">
        <f t="shared" si="5"/>
        <v>1.3368558320018502</v>
      </c>
    </row>
    <row r="26" spans="1:8" x14ac:dyDescent="0.2">
      <c r="A26" s="13">
        <f>A25-500</f>
        <v>2000</v>
      </c>
      <c r="B26" s="13">
        <f t="shared" si="0"/>
        <v>5.1020408163265305</v>
      </c>
      <c r="C26" s="106">
        <f t="shared" si="1"/>
        <v>126.16666666666667</v>
      </c>
      <c r="D26" s="13">
        <f t="shared" si="7"/>
        <v>9.5</v>
      </c>
      <c r="E26" s="13">
        <f t="shared" si="2"/>
        <v>3724</v>
      </c>
      <c r="F26" s="106">
        <f t="shared" si="3"/>
        <v>234.92233333333334</v>
      </c>
      <c r="G26" s="32">
        <f t="shared" si="4"/>
        <v>0.38708108515750006</v>
      </c>
      <c r="H26" s="32">
        <f t="shared" si="5"/>
        <v>1.2700130404017578</v>
      </c>
    </row>
    <row r="27" spans="1:8" x14ac:dyDescent="0.2">
      <c r="A27" s="13">
        <f>A26-500</f>
        <v>1500</v>
      </c>
      <c r="B27" s="13">
        <f t="shared" si="0"/>
        <v>3.8265306122448979</v>
      </c>
      <c r="C27" s="106">
        <f t="shared" si="1"/>
        <v>94.625</v>
      </c>
      <c r="D27" s="13">
        <f>D26-0.5</f>
        <v>9</v>
      </c>
      <c r="E27" s="13">
        <f t="shared" si="2"/>
        <v>3528</v>
      </c>
      <c r="F27" s="106">
        <f t="shared" si="3"/>
        <v>222.55799999999999</v>
      </c>
      <c r="G27" s="32">
        <f t="shared" si="4"/>
        <v>0.36670839646500009</v>
      </c>
      <c r="H27" s="32">
        <f t="shared" si="5"/>
        <v>1.2031702488016653</v>
      </c>
    </row>
    <row r="28" spans="1:8" x14ac:dyDescent="0.2">
      <c r="A28" s="13">
        <f>A27-500</f>
        <v>1000</v>
      </c>
      <c r="B28" s="13">
        <f t="shared" si="0"/>
        <v>2.5510204081632653</v>
      </c>
      <c r="C28" s="106">
        <f t="shared" si="1"/>
        <v>63.083333333333336</v>
      </c>
      <c r="D28" s="13">
        <f t="shared" si="7"/>
        <v>8.5</v>
      </c>
      <c r="E28" s="13">
        <f t="shared" si="2"/>
        <v>3332</v>
      </c>
      <c r="F28" s="106">
        <f t="shared" si="3"/>
        <v>210.19366666666667</v>
      </c>
      <c r="G28" s="32">
        <f t="shared" si="4"/>
        <v>0.34633570777250006</v>
      </c>
      <c r="H28" s="32">
        <f t="shared" si="5"/>
        <v>1.1363274572015727</v>
      </c>
    </row>
    <row r="29" spans="1:8" x14ac:dyDescent="0.2">
      <c r="A29" s="13">
        <f>A28-500</f>
        <v>500</v>
      </c>
      <c r="B29" s="13">
        <f t="shared" si="0"/>
        <v>1.2755102040816326</v>
      </c>
      <c r="C29" s="106">
        <f t="shared" si="1"/>
        <v>31.541666666666668</v>
      </c>
      <c r="D29" s="14">
        <f t="shared" si="7"/>
        <v>8</v>
      </c>
      <c r="E29" s="14">
        <f t="shared" si="2"/>
        <v>3136</v>
      </c>
      <c r="F29" s="108">
        <f t="shared" si="3"/>
        <v>197.82933333333335</v>
      </c>
      <c r="G29" s="32">
        <f t="shared" si="4"/>
        <v>0.32596301908000008</v>
      </c>
      <c r="H29" s="32">
        <f t="shared" si="5"/>
        <v>1.0694846656014803</v>
      </c>
    </row>
    <row r="30" spans="1:8" x14ac:dyDescent="0.2">
      <c r="A30" s="13">
        <v>400</v>
      </c>
      <c r="B30" s="13">
        <f t="shared" si="0"/>
        <v>1.0204081632653061</v>
      </c>
      <c r="C30" s="106">
        <f t="shared" si="1"/>
        <v>25.233333333333334</v>
      </c>
      <c r="D30" s="13">
        <f t="shared" si="7"/>
        <v>7.5</v>
      </c>
      <c r="E30" s="13">
        <f t="shared" si="2"/>
        <v>2940</v>
      </c>
      <c r="F30" s="106">
        <f t="shared" si="3"/>
        <v>185.465</v>
      </c>
      <c r="G30" s="32">
        <f t="shared" si="4"/>
        <v>0.30559033038750005</v>
      </c>
      <c r="H30" s="32">
        <f t="shared" si="5"/>
        <v>1.0026418740013878</v>
      </c>
    </row>
    <row r="31" spans="1:8" x14ac:dyDescent="0.2">
      <c r="A31" s="13">
        <v>300</v>
      </c>
      <c r="B31" s="13">
        <f t="shared" si="0"/>
        <v>0.76530612244897955</v>
      </c>
      <c r="C31" s="106">
        <f t="shared" si="1"/>
        <v>18.925000000000001</v>
      </c>
      <c r="D31" s="13">
        <f t="shared" si="7"/>
        <v>7</v>
      </c>
      <c r="E31" s="13">
        <f t="shared" si="2"/>
        <v>2744</v>
      </c>
      <c r="F31" s="106">
        <f t="shared" si="3"/>
        <v>173.10066666666668</v>
      </c>
      <c r="G31" s="32">
        <f t="shared" si="4"/>
        <v>0.28521764169500008</v>
      </c>
      <c r="H31" s="32">
        <f t="shared" si="5"/>
        <v>0.93579908240129528</v>
      </c>
    </row>
    <row r="32" spans="1:8" x14ac:dyDescent="0.2">
      <c r="A32" s="13">
        <v>200</v>
      </c>
      <c r="B32" s="13">
        <f t="shared" si="0"/>
        <v>0.51020408163265307</v>
      </c>
      <c r="C32" s="106">
        <f t="shared" si="1"/>
        <v>12.616666666666667</v>
      </c>
      <c r="D32" s="13">
        <f t="shared" si="7"/>
        <v>6.5</v>
      </c>
      <c r="E32" s="13">
        <f t="shared" si="2"/>
        <v>2548</v>
      </c>
      <c r="F32" s="106">
        <f t="shared" si="3"/>
        <v>160.73633333333333</v>
      </c>
      <c r="G32" s="32">
        <f t="shared" si="4"/>
        <v>0.26484495300250005</v>
      </c>
      <c r="H32" s="32">
        <f t="shared" si="5"/>
        <v>0.86895629080120274</v>
      </c>
    </row>
    <row r="33" spans="1:8" x14ac:dyDescent="0.2">
      <c r="A33" s="13">
        <v>100</v>
      </c>
      <c r="B33" s="13">
        <f t="shared" si="0"/>
        <v>0.25510204081632654</v>
      </c>
      <c r="C33" s="106">
        <f t="shared" si="1"/>
        <v>6.3083333333333336</v>
      </c>
      <c r="D33" s="14">
        <f t="shared" si="7"/>
        <v>6</v>
      </c>
      <c r="E33" s="14">
        <f t="shared" si="2"/>
        <v>2352</v>
      </c>
      <c r="F33" s="106">
        <f t="shared" si="3"/>
        <v>148.37200000000001</v>
      </c>
      <c r="G33" s="32">
        <f t="shared" si="4"/>
        <v>0.24447226431000002</v>
      </c>
      <c r="H33" s="32">
        <f t="shared" si="5"/>
        <v>0.80211349920111008</v>
      </c>
    </row>
    <row r="34" spans="1:8" x14ac:dyDescent="0.2">
      <c r="A34" s="13">
        <v>80</v>
      </c>
      <c r="B34" s="13">
        <f t="shared" si="0"/>
        <v>0.20408163265306123</v>
      </c>
      <c r="C34" s="106">
        <f t="shared" si="1"/>
        <v>5.0466666666666669</v>
      </c>
      <c r="D34" s="13">
        <f t="shared" si="7"/>
        <v>5.5</v>
      </c>
      <c r="E34" s="13">
        <f t="shared" si="2"/>
        <v>2156</v>
      </c>
      <c r="F34" s="106">
        <f t="shared" si="3"/>
        <v>136.00766666666667</v>
      </c>
      <c r="G34" s="32">
        <f t="shared" si="4"/>
        <v>0.22409957561750005</v>
      </c>
      <c r="H34" s="32">
        <f t="shared" si="5"/>
        <v>0.73527070760101765</v>
      </c>
    </row>
    <row r="35" spans="1:8" x14ac:dyDescent="0.2">
      <c r="A35" s="13">
        <v>60</v>
      </c>
      <c r="B35" s="13">
        <f t="shared" si="0"/>
        <v>0.15306122448979592</v>
      </c>
      <c r="C35" s="106">
        <f t="shared" si="1"/>
        <v>3.7850000000000006</v>
      </c>
      <c r="D35" s="13">
        <f t="shared" si="7"/>
        <v>5</v>
      </c>
      <c r="E35" s="13">
        <f t="shared" si="2"/>
        <v>1960</v>
      </c>
      <c r="F35" s="106">
        <f t="shared" si="3"/>
        <v>123.64333333333335</v>
      </c>
      <c r="G35" s="32">
        <f t="shared" si="4"/>
        <v>0.20372688692500004</v>
      </c>
      <c r="H35" s="32">
        <f t="shared" si="5"/>
        <v>0.66842791600092522</v>
      </c>
    </row>
    <row r="36" spans="1:8" x14ac:dyDescent="0.2">
      <c r="A36" s="13">
        <v>40</v>
      </c>
      <c r="B36" s="13">
        <f t="shared" si="0"/>
        <v>0.10204081632653061</v>
      </c>
      <c r="C36" s="106">
        <f t="shared" si="1"/>
        <v>2.5233333333333334</v>
      </c>
      <c r="D36" s="13">
        <f t="shared" si="7"/>
        <v>4.5</v>
      </c>
      <c r="E36" s="13">
        <f t="shared" si="2"/>
        <v>1764</v>
      </c>
      <c r="F36" s="106">
        <f t="shared" si="3"/>
        <v>111.27900000000001</v>
      </c>
      <c r="G36" s="32">
        <f t="shared" si="4"/>
        <v>0.18335419823250004</v>
      </c>
      <c r="H36" s="32">
        <f t="shared" si="5"/>
        <v>0.60158512440083267</v>
      </c>
    </row>
    <row r="37" spans="1:8" x14ac:dyDescent="0.2">
      <c r="A37" s="13">
        <v>20</v>
      </c>
      <c r="B37" s="13">
        <f t="shared" si="0"/>
        <v>5.1020408163265307E-2</v>
      </c>
      <c r="C37" s="106">
        <f t="shared" si="1"/>
        <v>1.2616666666666667</v>
      </c>
      <c r="D37" s="14">
        <f>'12. Air Scour Example'!F37</f>
        <v>4.2449800219196065</v>
      </c>
      <c r="E37" s="14">
        <f t="shared" si="2"/>
        <v>1664.0321685924857</v>
      </c>
      <c r="F37" s="106">
        <f t="shared" si="3"/>
        <v>104.97269596870932</v>
      </c>
      <c r="G37" s="32">
        <f t="shared" si="4"/>
        <v>0.17296331298489998</v>
      </c>
      <c r="H37" s="32">
        <f t="shared" si="5"/>
        <v>0.56749262990345684</v>
      </c>
    </row>
    <row r="38" spans="1:8" x14ac:dyDescent="0.2">
      <c r="A38" s="13">
        <v>10</v>
      </c>
      <c r="B38" s="13">
        <f t="shared" si="0"/>
        <v>2.5510204081632654E-2</v>
      </c>
      <c r="C38" s="106">
        <f t="shared" si="1"/>
        <v>0.63083333333333336</v>
      </c>
      <c r="D38" s="13">
        <f t="shared" si="7"/>
        <v>3.7449800219196065</v>
      </c>
      <c r="E38" s="13">
        <f t="shared" si="2"/>
        <v>1468.0321685924857</v>
      </c>
      <c r="F38" s="106">
        <f t="shared" si="3"/>
        <v>92.608362635375983</v>
      </c>
      <c r="G38" s="32">
        <f t="shared" si="4"/>
        <v>0.15259062429239997</v>
      </c>
      <c r="H38" s="32">
        <f t="shared" si="5"/>
        <v>0.50064983830336429</v>
      </c>
    </row>
    <row r="39" spans="1:8" x14ac:dyDescent="0.2">
      <c r="A39" s="13">
        <v>5</v>
      </c>
      <c r="B39" s="13">
        <f t="shared" si="0"/>
        <v>1.2755102040816327E-2</v>
      </c>
      <c r="C39" s="106">
        <f t="shared" si="1"/>
        <v>0.31541666666666668</v>
      </c>
      <c r="D39" s="13">
        <f t="shared" si="7"/>
        <v>3.2449800219196065</v>
      </c>
      <c r="E39" s="13">
        <f t="shared" si="2"/>
        <v>1272.0321685924857</v>
      </c>
      <c r="F39" s="106">
        <f t="shared" si="3"/>
        <v>80.244029302042648</v>
      </c>
      <c r="G39" s="32">
        <f t="shared" si="4"/>
        <v>0.13221793559989997</v>
      </c>
      <c r="H39" s="32">
        <f t="shared" si="5"/>
        <v>0.4338070467032718</v>
      </c>
    </row>
    <row r="40" spans="1:8" x14ac:dyDescent="0.2">
      <c r="A40" s="13">
        <v>3</v>
      </c>
      <c r="B40" s="13">
        <f t="shared" si="0"/>
        <v>7.6530612244897957E-3</v>
      </c>
      <c r="C40" s="106">
        <f t="shared" si="1"/>
        <v>0.18925</v>
      </c>
      <c r="D40" s="13">
        <f t="shared" si="7"/>
        <v>2.7449800219196065</v>
      </c>
      <c r="E40" s="13">
        <f t="shared" si="2"/>
        <v>1076.0321685924857</v>
      </c>
      <c r="F40" s="106">
        <f t="shared" si="3"/>
        <v>67.879695968709314</v>
      </c>
      <c r="G40" s="32">
        <f t="shared" si="4"/>
        <v>0.11184524690739996</v>
      </c>
      <c r="H40" s="32">
        <f t="shared" si="5"/>
        <v>0.36696425510317926</v>
      </c>
    </row>
    <row r="41" spans="1:8" x14ac:dyDescent="0.2">
      <c r="A41" s="13">
        <v>1</v>
      </c>
      <c r="B41" s="13">
        <f t="shared" si="0"/>
        <v>2.5510204081632651E-3</v>
      </c>
      <c r="C41" s="106">
        <f t="shared" si="1"/>
        <v>6.3083333333333338E-2</v>
      </c>
      <c r="D41" s="13">
        <f t="shared" si="7"/>
        <v>2.2449800219196065</v>
      </c>
      <c r="E41" s="13">
        <f t="shared" si="2"/>
        <v>880.03216859248573</v>
      </c>
      <c r="F41" s="106">
        <f t="shared" si="3"/>
        <v>55.515362635375986</v>
      </c>
      <c r="G41" s="32">
        <f t="shared" si="4"/>
        <v>9.1472558214899982E-2</v>
      </c>
      <c r="H41" s="32">
        <f t="shared" si="5"/>
        <v>0.30012146350308683</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
  <sheetViews>
    <sheetView workbookViewId="0"/>
  </sheetViews>
  <sheetFormatPr defaultColWidth="8.85546875" defaultRowHeight="12.75" x14ac:dyDescent="0.2"/>
  <cols>
    <col min="1" max="1" width="17.7109375" customWidth="1"/>
    <col min="2" max="2" width="28.7109375" customWidth="1"/>
    <col min="3" max="3" width="14.28515625" customWidth="1"/>
    <col min="4" max="4" width="24" customWidth="1"/>
  </cols>
  <sheetData>
    <row r="1" spans="1:4" x14ac:dyDescent="0.2">
      <c r="A1" s="45" t="s">
        <v>355</v>
      </c>
      <c r="B1" s="9" t="s">
        <v>36</v>
      </c>
      <c r="C1" s="45" t="s">
        <v>77</v>
      </c>
      <c r="D1" s="45" t="s">
        <v>37</v>
      </c>
    </row>
    <row r="2" spans="1:4" x14ac:dyDescent="0.2">
      <c r="A2" s="9">
        <v>0</v>
      </c>
      <c r="B2" s="9">
        <v>1.7809999999999999</v>
      </c>
      <c r="C2" s="45">
        <f>B2/100</f>
        <v>1.7809999999999999E-2</v>
      </c>
      <c r="D2" s="45">
        <v>0.99980000000000002</v>
      </c>
    </row>
    <row r="3" spans="1:4" x14ac:dyDescent="0.2">
      <c r="A3" s="9">
        <v>5</v>
      </c>
      <c r="B3" s="9">
        <v>1.5189999999999999</v>
      </c>
      <c r="C3" s="45">
        <f t="shared" ref="C3:C8" si="0">B3/100</f>
        <v>1.5189999999999999E-2</v>
      </c>
      <c r="D3" s="45">
        <v>1</v>
      </c>
    </row>
    <row r="4" spans="1:4" x14ac:dyDescent="0.2">
      <c r="A4" s="9">
        <v>10</v>
      </c>
      <c r="B4" s="9">
        <v>1.3069999999999999</v>
      </c>
      <c r="C4" s="45">
        <f t="shared" si="0"/>
        <v>1.307E-2</v>
      </c>
      <c r="D4" s="45">
        <v>0.99970000000000003</v>
      </c>
    </row>
    <row r="5" spans="1:4" x14ac:dyDescent="0.2">
      <c r="A5" s="9">
        <v>15</v>
      </c>
      <c r="B5" s="9">
        <v>1.139</v>
      </c>
      <c r="C5" s="45">
        <f t="shared" si="0"/>
        <v>1.1390000000000001E-2</v>
      </c>
      <c r="D5" s="45">
        <v>0.99909999999999999</v>
      </c>
    </row>
    <row r="6" spans="1:4" x14ac:dyDescent="0.2">
      <c r="A6" s="9">
        <v>20</v>
      </c>
      <c r="B6" s="9">
        <v>1.002</v>
      </c>
      <c r="C6" s="45">
        <f t="shared" si="0"/>
        <v>1.0019999999999999E-2</v>
      </c>
      <c r="D6" s="45">
        <v>0.99819999999999998</v>
      </c>
    </row>
    <row r="7" spans="1:4" x14ac:dyDescent="0.2">
      <c r="A7" s="9">
        <v>25</v>
      </c>
      <c r="B7" s="9">
        <v>0.89</v>
      </c>
      <c r="C7" s="45">
        <f t="shared" si="0"/>
        <v>8.8999999999999999E-3</v>
      </c>
      <c r="D7" s="45">
        <v>0.997</v>
      </c>
    </row>
    <row r="8" spans="1:4" x14ac:dyDescent="0.2">
      <c r="A8" s="9">
        <v>30</v>
      </c>
      <c r="B8" s="9">
        <v>0.79800000000000004</v>
      </c>
      <c r="C8" s="45">
        <f t="shared" si="0"/>
        <v>7.980000000000001E-3</v>
      </c>
      <c r="D8" s="45">
        <v>0.99570000000000003</v>
      </c>
    </row>
  </sheetData>
  <phoneticPr fontId="0"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A2" sqref="A2"/>
    </sheetView>
  </sheetViews>
  <sheetFormatPr defaultColWidth="8.85546875" defaultRowHeight="12.75" x14ac:dyDescent="0.2"/>
  <sheetData>
    <row r="1" spans="1:6" x14ac:dyDescent="0.2">
      <c r="A1" s="12" t="s">
        <v>154</v>
      </c>
    </row>
    <row r="3" spans="1:6" x14ac:dyDescent="0.2">
      <c r="A3" s="1" t="s">
        <v>7</v>
      </c>
      <c r="B3" s="15" t="s">
        <v>1</v>
      </c>
      <c r="C3" s="15" t="s">
        <v>2</v>
      </c>
      <c r="D3" s="15" t="s">
        <v>9</v>
      </c>
      <c r="E3" s="15" t="s">
        <v>10</v>
      </c>
      <c r="F3" s="15" t="s">
        <v>211</v>
      </c>
    </row>
    <row r="4" spans="1:6" x14ac:dyDescent="0.2">
      <c r="A4" s="1" t="s">
        <v>8</v>
      </c>
      <c r="B4" s="9">
        <v>2.65</v>
      </c>
      <c r="C4" s="9" t="s">
        <v>213</v>
      </c>
      <c r="D4" s="9" t="s">
        <v>11</v>
      </c>
      <c r="E4" s="9" t="s">
        <v>12</v>
      </c>
      <c r="F4" s="9" t="s">
        <v>212</v>
      </c>
    </row>
    <row r="5" spans="1:6" x14ac:dyDescent="0.2">
      <c r="A5" s="1" t="s">
        <v>117</v>
      </c>
      <c r="B5" s="9" t="s">
        <v>13</v>
      </c>
      <c r="C5" s="9" t="s">
        <v>14</v>
      </c>
      <c r="D5" s="9">
        <v>0.5</v>
      </c>
      <c r="E5" s="9" t="s">
        <v>207</v>
      </c>
      <c r="F5" s="59" t="s">
        <v>214</v>
      </c>
    </row>
    <row r="6" spans="1:6" x14ac:dyDescent="0.2">
      <c r="A6" s="26" t="s">
        <v>240</v>
      </c>
    </row>
    <row r="8" spans="1:6" x14ac:dyDescent="0.2">
      <c r="A8" s="1" t="s">
        <v>7</v>
      </c>
      <c r="B8" s="15" t="s">
        <v>1</v>
      </c>
      <c r="C8" s="15" t="s">
        <v>2</v>
      </c>
      <c r="D8" s="15" t="s">
        <v>9</v>
      </c>
      <c r="E8" s="15" t="s">
        <v>10</v>
      </c>
      <c r="F8" s="53" t="s">
        <v>203</v>
      </c>
    </row>
    <row r="9" spans="1:6" x14ac:dyDescent="0.2">
      <c r="A9" s="1" t="s">
        <v>8</v>
      </c>
      <c r="B9" s="9" t="s">
        <v>19</v>
      </c>
      <c r="C9" s="9" t="s">
        <v>20</v>
      </c>
      <c r="D9" s="9"/>
      <c r="E9" s="9" t="s">
        <v>21</v>
      </c>
      <c r="F9" s="58">
        <v>4</v>
      </c>
    </row>
    <row r="10" spans="1:6" x14ac:dyDescent="0.2">
      <c r="A10" s="1" t="s">
        <v>117</v>
      </c>
      <c r="B10" s="9" t="s">
        <v>16</v>
      </c>
      <c r="C10" s="9" t="s">
        <v>17</v>
      </c>
      <c r="D10" s="9"/>
      <c r="E10" s="9"/>
      <c r="F10" s="55" t="s">
        <v>207</v>
      </c>
    </row>
    <row r="11" spans="1:6" x14ac:dyDescent="0.2">
      <c r="A11" s="1" t="s">
        <v>15</v>
      </c>
      <c r="B11" s="9" t="s">
        <v>22</v>
      </c>
      <c r="C11" s="9" t="s">
        <v>25</v>
      </c>
      <c r="D11" s="9"/>
      <c r="E11" s="9"/>
      <c r="F11" s="58" t="s">
        <v>204</v>
      </c>
    </row>
    <row r="12" spans="1:6" x14ac:dyDescent="0.2">
      <c r="A12" s="1" t="s">
        <v>75</v>
      </c>
      <c r="B12" s="9" t="s">
        <v>18</v>
      </c>
      <c r="C12" s="9"/>
      <c r="D12" s="9"/>
      <c r="E12" s="9"/>
      <c r="F12" s="58" t="s">
        <v>206</v>
      </c>
    </row>
    <row r="13" spans="1:6" x14ac:dyDescent="0.2">
      <c r="A13" s="1" t="s">
        <v>157</v>
      </c>
      <c r="B13" s="9" t="s">
        <v>23</v>
      </c>
      <c r="C13" s="9" t="s">
        <v>24</v>
      </c>
      <c r="D13" s="9"/>
      <c r="E13" s="9"/>
      <c r="F13" s="58" t="s">
        <v>215</v>
      </c>
    </row>
    <row r="14" spans="1:6" x14ac:dyDescent="0.2">
      <c r="A14" s="1"/>
      <c r="B14" s="9"/>
      <c r="C14" s="9"/>
      <c r="D14" s="9"/>
      <c r="E14" s="9"/>
      <c r="F14" s="54"/>
    </row>
    <row r="15" spans="1:6" x14ac:dyDescent="0.2">
      <c r="A15" s="1" t="s">
        <v>155</v>
      </c>
      <c r="B15" s="9"/>
      <c r="C15" s="9" t="s">
        <v>27</v>
      </c>
      <c r="D15" s="9"/>
      <c r="E15" s="9"/>
      <c r="F15" s="54"/>
    </row>
    <row r="16" spans="1:6" x14ac:dyDescent="0.2">
      <c r="A16" s="1" t="s">
        <v>156</v>
      </c>
      <c r="B16" s="9"/>
      <c r="C16" s="9" t="s">
        <v>26</v>
      </c>
      <c r="D16" s="9"/>
      <c r="E16" s="9"/>
      <c r="F16" s="54"/>
    </row>
    <row r="17" spans="1:3" x14ac:dyDescent="0.2">
      <c r="A17" s="26" t="s">
        <v>239</v>
      </c>
    </row>
    <row r="18" spans="1:3" x14ac:dyDescent="0.2">
      <c r="A18" s="56" t="s">
        <v>209</v>
      </c>
      <c r="B18" s="57"/>
      <c r="C18" s="57"/>
    </row>
    <row r="19" spans="1:3" x14ac:dyDescent="0.2">
      <c r="A19" s="57"/>
      <c r="B19" s="57" t="s">
        <v>205</v>
      </c>
      <c r="C19" s="57"/>
    </row>
    <row r="20" spans="1:3" x14ac:dyDescent="0.2">
      <c r="A20" s="57"/>
      <c r="B20" s="57" t="s">
        <v>208</v>
      </c>
      <c r="C20" s="57"/>
    </row>
    <row r="21" spans="1:3" x14ac:dyDescent="0.2">
      <c r="A21" s="57"/>
      <c r="B21" s="57" t="s">
        <v>210</v>
      </c>
      <c r="C21" s="57"/>
    </row>
  </sheetData>
  <phoneticPr fontId="0"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15E9A-7900-4225-9C2E-CBA8A049481A}">
  <dimension ref="A1:V49"/>
  <sheetViews>
    <sheetView topLeftCell="A10" workbookViewId="0">
      <selection activeCell="V38" sqref="V38"/>
    </sheetView>
  </sheetViews>
  <sheetFormatPr defaultRowHeight="12.75" x14ac:dyDescent="0.2"/>
  <cols>
    <col min="1" max="1" width="15" bestFit="1" customWidth="1"/>
    <col min="7" max="7" width="15" bestFit="1" customWidth="1"/>
    <col min="13" max="13" width="15" bestFit="1" customWidth="1"/>
    <col min="18" max="18" width="15" bestFit="1" customWidth="1"/>
  </cols>
  <sheetData>
    <row r="1" spans="1:4" x14ac:dyDescent="0.2">
      <c r="A1" s="216" t="s">
        <v>329</v>
      </c>
      <c r="B1" s="216"/>
      <c r="C1" s="216"/>
      <c r="D1" s="216"/>
    </row>
    <row r="2" spans="1:4" x14ac:dyDescent="0.2">
      <c r="A2" s="171" t="s">
        <v>323</v>
      </c>
      <c r="B2" s="171" t="s">
        <v>324</v>
      </c>
      <c r="C2" s="174" t="s">
        <v>322</v>
      </c>
      <c r="D2" s="171" t="s">
        <v>325</v>
      </c>
    </row>
    <row r="3" spans="1:4" x14ac:dyDescent="0.2">
      <c r="A3" s="13">
        <v>0</v>
      </c>
      <c r="B3" s="10">
        <v>14.94</v>
      </c>
      <c r="C3" s="175">
        <v>7</v>
      </c>
      <c r="D3" s="10">
        <f>B3-C3</f>
        <v>7.9399999999999995</v>
      </c>
    </row>
    <row r="4" spans="1:4" x14ac:dyDescent="0.2">
      <c r="A4" s="13">
        <v>5</v>
      </c>
      <c r="B4" s="10">
        <v>14.73</v>
      </c>
      <c r="C4" s="175">
        <v>7</v>
      </c>
      <c r="D4" s="10">
        <f t="shared" ref="D4:D11" si="0">B4-C4</f>
        <v>7.73</v>
      </c>
    </row>
    <row r="5" spans="1:4" x14ac:dyDescent="0.2">
      <c r="A5" s="13">
        <v>10</v>
      </c>
      <c r="B5" s="10">
        <v>14.53</v>
      </c>
      <c r="C5" s="175">
        <v>7</v>
      </c>
      <c r="D5" s="10">
        <f t="shared" si="0"/>
        <v>7.5299999999999994</v>
      </c>
    </row>
    <row r="6" spans="1:4" x14ac:dyDescent="0.2">
      <c r="A6" s="13">
        <v>15</v>
      </c>
      <c r="B6" s="10">
        <v>14.35</v>
      </c>
      <c r="C6" s="175">
        <v>7</v>
      </c>
      <c r="D6" s="10">
        <f t="shared" si="0"/>
        <v>7.35</v>
      </c>
    </row>
    <row r="7" spans="1:4" x14ac:dyDescent="0.2">
      <c r="A7" s="13">
        <v>20</v>
      </c>
      <c r="B7" s="10">
        <v>14.17</v>
      </c>
      <c r="C7" s="175">
        <v>7</v>
      </c>
      <c r="D7" s="10">
        <f t="shared" si="0"/>
        <v>7.17</v>
      </c>
    </row>
    <row r="8" spans="1:4" x14ac:dyDescent="0.2">
      <c r="A8" s="172">
        <v>25</v>
      </c>
      <c r="B8" s="173">
        <v>14</v>
      </c>
      <c r="C8" s="176">
        <v>7</v>
      </c>
      <c r="D8" s="173">
        <f t="shared" si="0"/>
        <v>7</v>
      </c>
    </row>
    <row r="9" spans="1:4" x14ac:dyDescent="0.2">
      <c r="A9" s="13">
        <v>30</v>
      </c>
      <c r="B9" s="10">
        <v>13.83</v>
      </c>
      <c r="C9" s="175">
        <v>7</v>
      </c>
      <c r="D9" s="10">
        <f t="shared" si="0"/>
        <v>6.83</v>
      </c>
    </row>
    <row r="10" spans="1:4" x14ac:dyDescent="0.2">
      <c r="A10" s="13">
        <v>35</v>
      </c>
      <c r="B10" s="10">
        <v>13.68</v>
      </c>
      <c r="C10" s="175">
        <v>7</v>
      </c>
      <c r="D10" s="10">
        <f t="shared" si="0"/>
        <v>6.68</v>
      </c>
    </row>
    <row r="11" spans="1:4" x14ac:dyDescent="0.2">
      <c r="A11" s="13">
        <v>40</v>
      </c>
      <c r="B11" s="10">
        <v>13.53</v>
      </c>
      <c r="C11" s="175">
        <v>7</v>
      </c>
      <c r="D11" s="10">
        <f t="shared" si="0"/>
        <v>6.5299999999999994</v>
      </c>
    </row>
    <row r="13" spans="1:4" x14ac:dyDescent="0.2">
      <c r="A13" s="216" t="s">
        <v>327</v>
      </c>
      <c r="B13" s="216"/>
      <c r="C13" s="216"/>
      <c r="D13" s="216"/>
    </row>
    <row r="14" spans="1:4" x14ac:dyDescent="0.2">
      <c r="A14" s="171" t="s">
        <v>323</v>
      </c>
      <c r="B14" s="171" t="s">
        <v>324</v>
      </c>
      <c r="C14" s="174" t="s">
        <v>322</v>
      </c>
      <c r="D14" s="171" t="s">
        <v>325</v>
      </c>
    </row>
    <row r="15" spans="1:4" x14ac:dyDescent="0.2">
      <c r="A15" s="13">
        <v>0</v>
      </c>
      <c r="B15" s="10">
        <v>14.94</v>
      </c>
      <c r="C15" s="175">
        <v>7.5</v>
      </c>
      <c r="D15" s="10">
        <f>B15-C15</f>
        <v>7.4399999999999995</v>
      </c>
    </row>
    <row r="16" spans="1:4" x14ac:dyDescent="0.2">
      <c r="A16" s="13">
        <v>5</v>
      </c>
      <c r="B16" s="10">
        <v>14.73</v>
      </c>
      <c r="C16" s="175">
        <v>7.5</v>
      </c>
      <c r="D16" s="10">
        <f t="shared" ref="D16:D23" si="1">B16-C16</f>
        <v>7.23</v>
      </c>
    </row>
    <row r="17" spans="1:22" x14ac:dyDescent="0.2">
      <c r="A17" s="13">
        <v>10</v>
      </c>
      <c r="B17" s="10">
        <v>14.53</v>
      </c>
      <c r="C17" s="175">
        <v>7.5</v>
      </c>
      <c r="D17" s="10">
        <f t="shared" si="1"/>
        <v>7.0299999999999994</v>
      </c>
    </row>
    <row r="18" spans="1:22" x14ac:dyDescent="0.2">
      <c r="A18" s="13">
        <v>15</v>
      </c>
      <c r="B18" s="10">
        <v>14.35</v>
      </c>
      <c r="C18" s="175">
        <v>7.5</v>
      </c>
      <c r="D18" s="10">
        <f t="shared" si="1"/>
        <v>6.85</v>
      </c>
    </row>
    <row r="19" spans="1:22" x14ac:dyDescent="0.2">
      <c r="A19" s="13">
        <v>20</v>
      </c>
      <c r="B19" s="10">
        <v>14.17</v>
      </c>
      <c r="C19" s="175">
        <v>7.5</v>
      </c>
      <c r="D19" s="10">
        <f t="shared" si="1"/>
        <v>6.67</v>
      </c>
    </row>
    <row r="20" spans="1:22" x14ac:dyDescent="0.2">
      <c r="A20" s="172">
        <v>25</v>
      </c>
      <c r="B20" s="173">
        <v>14</v>
      </c>
      <c r="C20" s="176">
        <v>7.5</v>
      </c>
      <c r="D20" s="173">
        <f t="shared" si="1"/>
        <v>6.5</v>
      </c>
    </row>
    <row r="21" spans="1:22" x14ac:dyDescent="0.2">
      <c r="A21" s="13">
        <v>30</v>
      </c>
      <c r="B21" s="10">
        <v>13.83</v>
      </c>
      <c r="C21" s="175">
        <v>7.5</v>
      </c>
      <c r="D21" s="10">
        <f t="shared" si="1"/>
        <v>6.33</v>
      </c>
    </row>
    <row r="22" spans="1:22" x14ac:dyDescent="0.2">
      <c r="A22" s="13">
        <v>35</v>
      </c>
      <c r="B22" s="10">
        <v>13.68</v>
      </c>
      <c r="C22" s="175">
        <v>7.5</v>
      </c>
      <c r="D22" s="10">
        <f t="shared" si="1"/>
        <v>6.18</v>
      </c>
    </row>
    <row r="23" spans="1:22" x14ac:dyDescent="0.2">
      <c r="A23" s="13">
        <v>40</v>
      </c>
      <c r="B23" s="10">
        <v>13.53</v>
      </c>
      <c r="C23" s="175">
        <v>7.5</v>
      </c>
      <c r="D23" s="10">
        <f t="shared" si="1"/>
        <v>6.0299999999999994</v>
      </c>
    </row>
    <row r="25" spans="1:22" x14ac:dyDescent="0.2">
      <c r="A25" s="216" t="s">
        <v>328</v>
      </c>
      <c r="B25" s="216"/>
      <c r="C25" s="216"/>
      <c r="D25" s="216"/>
      <c r="G25" s="216" t="s">
        <v>330</v>
      </c>
      <c r="H25" s="217"/>
      <c r="I25" s="217"/>
      <c r="J25" s="217"/>
      <c r="M25" s="216" t="s">
        <v>331</v>
      </c>
      <c r="N25" s="217"/>
      <c r="O25" s="217"/>
      <c r="P25" s="217"/>
      <c r="R25" s="218" t="s">
        <v>340</v>
      </c>
      <c r="S25" s="219"/>
      <c r="T25" s="219"/>
      <c r="U25" s="219"/>
      <c r="V25" s="41" t="s">
        <v>356</v>
      </c>
    </row>
    <row r="26" spans="1:22" x14ac:dyDescent="0.2">
      <c r="A26" s="171" t="s">
        <v>323</v>
      </c>
      <c r="B26" s="171" t="s">
        <v>324</v>
      </c>
      <c r="C26" s="177" t="s">
        <v>322</v>
      </c>
      <c r="D26" s="174" t="s">
        <v>325</v>
      </c>
      <c r="G26" s="171" t="s">
        <v>323</v>
      </c>
      <c r="H26" s="171" t="s">
        <v>324</v>
      </c>
      <c r="I26" s="177" t="s">
        <v>322</v>
      </c>
      <c r="J26" s="174" t="s">
        <v>325</v>
      </c>
      <c r="M26" s="171" t="s">
        <v>323</v>
      </c>
      <c r="N26" s="171" t="s">
        <v>324</v>
      </c>
      <c r="O26" s="177" t="s">
        <v>322</v>
      </c>
      <c r="P26" s="174" t="s">
        <v>325</v>
      </c>
      <c r="R26" s="193" t="s">
        <v>341</v>
      </c>
      <c r="S26" s="193" t="s">
        <v>324</v>
      </c>
      <c r="T26" s="197" t="s">
        <v>322</v>
      </c>
      <c r="U26" s="194" t="s">
        <v>325</v>
      </c>
    </row>
    <row r="27" spans="1:22" x14ac:dyDescent="0.2">
      <c r="A27" s="13">
        <v>0</v>
      </c>
      <c r="B27" s="10">
        <v>14.94</v>
      </c>
      <c r="C27" s="178">
        <f>B27-D27</f>
        <v>7.4399999999999995</v>
      </c>
      <c r="D27" s="175">
        <v>7.5</v>
      </c>
      <c r="G27" s="13">
        <v>0</v>
      </c>
      <c r="H27" s="10">
        <v>14.94</v>
      </c>
      <c r="I27" s="178">
        <f>H27-J27</f>
        <v>7.9399999999999995</v>
      </c>
      <c r="J27" s="175">
        <v>7</v>
      </c>
      <c r="M27" s="13">
        <v>0</v>
      </c>
      <c r="N27" s="10">
        <v>14.94</v>
      </c>
      <c r="O27" s="178">
        <f>N27-P27</f>
        <v>8.44</v>
      </c>
      <c r="P27" s="175">
        <v>6.5</v>
      </c>
      <c r="R27" s="192">
        <v>0</v>
      </c>
      <c r="S27" s="191">
        <v>14.94</v>
      </c>
      <c r="T27" s="198">
        <v>7.34</v>
      </c>
      <c r="U27" s="195">
        <v>7.6</v>
      </c>
    </row>
    <row r="28" spans="1:22" x14ac:dyDescent="0.2">
      <c r="A28" s="13">
        <v>5</v>
      </c>
      <c r="B28" s="10">
        <v>14.73</v>
      </c>
      <c r="C28" s="178">
        <f t="shared" ref="C28:C35" si="2">B28-D28</f>
        <v>7.23</v>
      </c>
      <c r="D28" s="175">
        <v>7.5</v>
      </c>
      <c r="G28" s="13">
        <v>5</v>
      </c>
      <c r="H28" s="10">
        <v>14.73</v>
      </c>
      <c r="I28" s="178">
        <f t="shared" ref="I28:I35" si="3">H28-J28</f>
        <v>7.73</v>
      </c>
      <c r="J28" s="175">
        <v>7</v>
      </c>
      <c r="M28" s="13">
        <v>5</v>
      </c>
      <c r="N28" s="10">
        <v>14.73</v>
      </c>
      <c r="O28" s="178">
        <f t="shared" ref="O28:O35" si="4">N28-P28</f>
        <v>8.23</v>
      </c>
      <c r="P28" s="175">
        <v>6.5</v>
      </c>
      <c r="R28" s="192">
        <v>5</v>
      </c>
      <c r="S28" s="191">
        <v>14.73</v>
      </c>
      <c r="T28" s="198">
        <v>7.1300000000000008</v>
      </c>
      <c r="U28" s="195">
        <v>7.6</v>
      </c>
    </row>
    <row r="29" spans="1:22" x14ac:dyDescent="0.2">
      <c r="A29" s="13">
        <v>10</v>
      </c>
      <c r="B29" s="10">
        <v>14.53</v>
      </c>
      <c r="C29" s="178">
        <f t="shared" si="2"/>
        <v>7.0299999999999994</v>
      </c>
      <c r="D29" s="175">
        <v>7.5</v>
      </c>
      <c r="G29" s="13">
        <v>10</v>
      </c>
      <c r="H29" s="10">
        <v>14.53</v>
      </c>
      <c r="I29" s="178">
        <f t="shared" si="3"/>
        <v>7.5299999999999994</v>
      </c>
      <c r="J29" s="175">
        <v>7</v>
      </c>
      <c r="M29" s="13">
        <v>10</v>
      </c>
      <c r="N29" s="10">
        <v>14.53</v>
      </c>
      <c r="O29" s="178">
        <f t="shared" si="4"/>
        <v>8.0299999999999994</v>
      </c>
      <c r="P29" s="175">
        <v>6.5</v>
      </c>
      <c r="R29" s="192">
        <v>10</v>
      </c>
      <c r="S29" s="191">
        <v>14.53</v>
      </c>
      <c r="T29" s="198">
        <v>6.93</v>
      </c>
      <c r="U29" s="195">
        <v>7.6</v>
      </c>
    </row>
    <row r="30" spans="1:22" x14ac:dyDescent="0.2">
      <c r="A30" s="13">
        <v>15</v>
      </c>
      <c r="B30" s="10">
        <v>14.35</v>
      </c>
      <c r="C30" s="178">
        <f t="shared" si="2"/>
        <v>6.85</v>
      </c>
      <c r="D30" s="175">
        <v>7.5</v>
      </c>
      <c r="G30" s="13">
        <v>15</v>
      </c>
      <c r="H30" s="10">
        <v>14.35</v>
      </c>
      <c r="I30" s="178">
        <f t="shared" si="3"/>
        <v>7.35</v>
      </c>
      <c r="J30" s="175">
        <v>7</v>
      </c>
      <c r="M30" s="13">
        <v>15</v>
      </c>
      <c r="N30" s="10">
        <v>14.35</v>
      </c>
      <c r="O30" s="178">
        <f t="shared" si="4"/>
        <v>7.85</v>
      </c>
      <c r="P30" s="175">
        <v>6.5</v>
      </c>
      <c r="R30" s="192">
        <v>15</v>
      </c>
      <c r="S30" s="191">
        <v>14.35</v>
      </c>
      <c r="T30" s="198">
        <v>6.75</v>
      </c>
      <c r="U30" s="195">
        <v>7.6</v>
      </c>
    </row>
    <row r="31" spans="1:22" x14ac:dyDescent="0.2">
      <c r="A31" s="13">
        <v>20</v>
      </c>
      <c r="B31" s="10">
        <v>14.17</v>
      </c>
      <c r="C31" s="178">
        <f t="shared" si="2"/>
        <v>6.67</v>
      </c>
      <c r="D31" s="175">
        <v>7.5</v>
      </c>
      <c r="G31" s="13">
        <v>20</v>
      </c>
      <c r="H31" s="10">
        <v>14.17</v>
      </c>
      <c r="I31" s="178">
        <f t="shared" si="3"/>
        <v>7.17</v>
      </c>
      <c r="J31" s="175">
        <v>7</v>
      </c>
      <c r="M31" s="13">
        <v>20</v>
      </c>
      <c r="N31" s="10">
        <v>14.17</v>
      </c>
      <c r="O31" s="178">
        <f t="shared" si="4"/>
        <v>7.67</v>
      </c>
      <c r="P31" s="175">
        <v>6.5</v>
      </c>
      <c r="R31" s="192">
        <v>20</v>
      </c>
      <c r="S31" s="191">
        <v>14.17</v>
      </c>
      <c r="T31" s="198">
        <v>6.57</v>
      </c>
      <c r="U31" s="195">
        <v>7.6</v>
      </c>
    </row>
    <row r="32" spans="1:22" x14ac:dyDescent="0.2">
      <c r="A32" s="172">
        <v>25</v>
      </c>
      <c r="B32" s="173">
        <v>14</v>
      </c>
      <c r="C32" s="179">
        <f t="shared" si="2"/>
        <v>6.5</v>
      </c>
      <c r="D32" s="176">
        <v>7.5</v>
      </c>
      <c r="G32" s="172">
        <v>25</v>
      </c>
      <c r="H32" s="173">
        <v>14</v>
      </c>
      <c r="I32" s="179">
        <f t="shared" si="3"/>
        <v>7</v>
      </c>
      <c r="J32" s="176">
        <v>7</v>
      </c>
      <c r="M32" s="172">
        <v>25</v>
      </c>
      <c r="N32" s="173">
        <v>14</v>
      </c>
      <c r="O32" s="179">
        <f t="shared" si="4"/>
        <v>7.5</v>
      </c>
      <c r="P32" s="176">
        <v>6.5</v>
      </c>
      <c r="R32" s="201">
        <v>22</v>
      </c>
      <c r="S32" s="196">
        <v>14.102</v>
      </c>
      <c r="T32" s="202">
        <v>6.5020000000000007</v>
      </c>
      <c r="U32" s="196">
        <v>7.6</v>
      </c>
    </row>
    <row r="33" spans="1:22" x14ac:dyDescent="0.2">
      <c r="A33" s="13">
        <v>30</v>
      </c>
      <c r="B33" s="10">
        <v>13.83</v>
      </c>
      <c r="C33" s="178">
        <f t="shared" si="2"/>
        <v>6.33</v>
      </c>
      <c r="D33" s="175">
        <v>7.5</v>
      </c>
      <c r="G33" s="13">
        <v>30</v>
      </c>
      <c r="H33" s="10">
        <v>13.83</v>
      </c>
      <c r="I33" s="178">
        <f t="shared" si="3"/>
        <v>6.83</v>
      </c>
      <c r="J33" s="175">
        <v>7</v>
      </c>
      <c r="M33" s="13">
        <v>30</v>
      </c>
      <c r="N33" s="10">
        <v>13.83</v>
      </c>
      <c r="O33" s="178">
        <f t="shared" si="4"/>
        <v>7.33</v>
      </c>
      <c r="P33" s="175">
        <v>6.5</v>
      </c>
      <c r="R33" s="199">
        <v>25</v>
      </c>
      <c r="S33" s="200">
        <v>14</v>
      </c>
      <c r="T33" s="198">
        <v>6.4</v>
      </c>
      <c r="U33" s="195">
        <v>7.6</v>
      </c>
    </row>
    <row r="34" spans="1:22" x14ac:dyDescent="0.2">
      <c r="A34" s="13">
        <v>35</v>
      </c>
      <c r="B34" s="10">
        <v>13.68</v>
      </c>
      <c r="C34" s="178">
        <f t="shared" si="2"/>
        <v>6.18</v>
      </c>
      <c r="D34" s="175">
        <v>7.5</v>
      </c>
      <c r="G34" s="13">
        <v>35</v>
      </c>
      <c r="H34" s="10">
        <v>13.68</v>
      </c>
      <c r="I34" s="178">
        <f t="shared" si="3"/>
        <v>6.68</v>
      </c>
      <c r="J34" s="175">
        <v>7</v>
      </c>
      <c r="M34" s="13">
        <v>35</v>
      </c>
      <c r="N34" s="10">
        <v>13.68</v>
      </c>
      <c r="O34" s="178">
        <f t="shared" si="4"/>
        <v>7.18</v>
      </c>
      <c r="P34" s="175">
        <v>6.5</v>
      </c>
      <c r="R34" s="192">
        <v>30</v>
      </c>
      <c r="S34" s="191">
        <v>13.83</v>
      </c>
      <c r="T34" s="198">
        <v>6.23</v>
      </c>
      <c r="U34" s="195">
        <v>7.6</v>
      </c>
    </row>
    <row r="35" spans="1:22" x14ac:dyDescent="0.2">
      <c r="A35" s="13">
        <v>40</v>
      </c>
      <c r="B35" s="10">
        <v>13.53</v>
      </c>
      <c r="C35" s="178">
        <f t="shared" si="2"/>
        <v>6.0299999999999994</v>
      </c>
      <c r="D35" s="175">
        <v>7.5</v>
      </c>
      <c r="G35" s="13">
        <v>40</v>
      </c>
      <c r="H35" s="10">
        <v>13.53</v>
      </c>
      <c r="I35" s="178">
        <f t="shared" si="3"/>
        <v>6.5299999999999994</v>
      </c>
      <c r="J35" s="175">
        <v>7</v>
      </c>
      <c r="M35" s="13">
        <v>40</v>
      </c>
      <c r="N35" s="10">
        <v>13.53</v>
      </c>
      <c r="O35" s="178">
        <f t="shared" si="4"/>
        <v>7.0299999999999994</v>
      </c>
      <c r="P35" s="175">
        <v>6.5</v>
      </c>
      <c r="R35" s="192">
        <v>35</v>
      </c>
      <c r="S35" s="191">
        <v>13.68</v>
      </c>
      <c r="T35" s="198">
        <v>6.08</v>
      </c>
      <c r="U35" s="195">
        <v>7.6</v>
      </c>
    </row>
    <row r="36" spans="1:22" x14ac:dyDescent="0.2">
      <c r="R36" s="192">
        <v>40</v>
      </c>
      <c r="S36" s="191">
        <v>13.53</v>
      </c>
      <c r="T36" s="198">
        <v>5.93</v>
      </c>
      <c r="U36" s="195">
        <v>7.6</v>
      </c>
    </row>
    <row r="37" spans="1:22" x14ac:dyDescent="0.2">
      <c r="A37" s="216" t="s">
        <v>326</v>
      </c>
      <c r="B37" s="217"/>
      <c r="C37" s="217"/>
      <c r="D37" s="217"/>
      <c r="R37" s="190"/>
      <c r="S37" s="190"/>
      <c r="T37" s="190"/>
      <c r="U37" s="190"/>
    </row>
    <row r="38" spans="1:22" x14ac:dyDescent="0.2">
      <c r="A38" s="171" t="s">
        <v>323</v>
      </c>
      <c r="B38" s="171" t="s">
        <v>324</v>
      </c>
      <c r="C38" s="171" t="s">
        <v>322</v>
      </c>
      <c r="D38" s="171" t="s">
        <v>325</v>
      </c>
      <c r="R38" s="220" t="s">
        <v>342</v>
      </c>
      <c r="S38" s="221"/>
      <c r="T38" s="221"/>
      <c r="U38" s="221"/>
      <c r="V38" s="41" t="s">
        <v>357</v>
      </c>
    </row>
    <row r="39" spans="1:22" x14ac:dyDescent="0.2">
      <c r="A39" s="13">
        <v>0</v>
      </c>
      <c r="B39" s="10">
        <v>14.94</v>
      </c>
      <c r="C39" s="10">
        <f>0.5*B39</f>
        <v>7.47</v>
      </c>
      <c r="D39" s="10">
        <f>B39-C39</f>
        <v>7.47</v>
      </c>
      <c r="R39" s="193" t="s">
        <v>341</v>
      </c>
      <c r="S39" s="193" t="s">
        <v>324</v>
      </c>
      <c r="T39" s="197" t="s">
        <v>322</v>
      </c>
      <c r="U39" s="194" t="s">
        <v>325</v>
      </c>
    </row>
    <row r="40" spans="1:22" x14ac:dyDescent="0.2">
      <c r="A40" s="13">
        <v>5</v>
      </c>
      <c r="B40" s="10">
        <v>14.73</v>
      </c>
      <c r="C40" s="10">
        <f t="shared" ref="C40:C47" si="5">0.5*B40</f>
        <v>7.3650000000000002</v>
      </c>
      <c r="D40" s="10">
        <f t="shared" ref="D40:D47" si="6">B40-C40</f>
        <v>7.3650000000000002</v>
      </c>
      <c r="R40" s="192">
        <v>0</v>
      </c>
      <c r="S40" s="191">
        <v>14.94</v>
      </c>
      <c r="T40" s="198">
        <v>6.5</v>
      </c>
      <c r="U40" s="195">
        <v>8.44</v>
      </c>
    </row>
    <row r="41" spans="1:22" x14ac:dyDescent="0.2">
      <c r="A41" s="13">
        <v>10</v>
      </c>
      <c r="B41" s="10">
        <v>14.53</v>
      </c>
      <c r="C41" s="10">
        <f t="shared" si="5"/>
        <v>7.2649999999999997</v>
      </c>
      <c r="D41" s="10">
        <f t="shared" si="6"/>
        <v>7.2649999999999997</v>
      </c>
      <c r="R41" s="192">
        <v>5</v>
      </c>
      <c r="S41" s="191">
        <v>14.73</v>
      </c>
      <c r="T41" s="198">
        <v>6.5</v>
      </c>
      <c r="U41" s="195">
        <v>8.23</v>
      </c>
    </row>
    <row r="42" spans="1:22" x14ac:dyDescent="0.2">
      <c r="A42" s="13">
        <v>15</v>
      </c>
      <c r="B42" s="10">
        <v>14.35</v>
      </c>
      <c r="C42" s="10">
        <f t="shared" si="5"/>
        <v>7.1749999999999998</v>
      </c>
      <c r="D42" s="10">
        <f t="shared" si="6"/>
        <v>7.1749999999999998</v>
      </c>
      <c r="R42" s="192">
        <v>10</v>
      </c>
      <c r="S42" s="191">
        <v>14.53</v>
      </c>
      <c r="T42" s="198">
        <v>6.5</v>
      </c>
      <c r="U42" s="195">
        <v>8.0299999999999994</v>
      </c>
    </row>
    <row r="43" spans="1:22" x14ac:dyDescent="0.2">
      <c r="A43" s="13">
        <v>20</v>
      </c>
      <c r="B43" s="10">
        <v>14.17</v>
      </c>
      <c r="C43" s="10">
        <f t="shared" si="5"/>
        <v>7.085</v>
      </c>
      <c r="D43" s="10">
        <f t="shared" si="6"/>
        <v>7.085</v>
      </c>
      <c r="R43" s="192">
        <v>15</v>
      </c>
      <c r="S43" s="191">
        <v>14.35</v>
      </c>
      <c r="T43" s="198">
        <v>6.5</v>
      </c>
      <c r="U43" s="195">
        <v>7.85</v>
      </c>
    </row>
    <row r="44" spans="1:22" x14ac:dyDescent="0.2">
      <c r="A44" s="172">
        <v>25</v>
      </c>
      <c r="B44" s="173">
        <v>14</v>
      </c>
      <c r="C44" s="173">
        <f t="shared" si="5"/>
        <v>7</v>
      </c>
      <c r="D44" s="173">
        <f t="shared" si="6"/>
        <v>7</v>
      </c>
      <c r="R44" s="192">
        <v>20</v>
      </c>
      <c r="S44" s="191">
        <v>14.17</v>
      </c>
      <c r="T44" s="198">
        <v>6.5</v>
      </c>
      <c r="U44" s="195">
        <v>7.67</v>
      </c>
    </row>
    <row r="45" spans="1:22" x14ac:dyDescent="0.2">
      <c r="A45" s="13">
        <v>30</v>
      </c>
      <c r="B45" s="10">
        <v>13.83</v>
      </c>
      <c r="C45" s="10">
        <f t="shared" si="5"/>
        <v>6.915</v>
      </c>
      <c r="D45" s="10">
        <f t="shared" si="6"/>
        <v>6.915</v>
      </c>
      <c r="R45" s="201">
        <v>22</v>
      </c>
      <c r="S45" s="196">
        <v>14.102</v>
      </c>
      <c r="T45" s="202">
        <v>6.5020000000000007</v>
      </c>
      <c r="U45" s="196">
        <v>7.6</v>
      </c>
    </row>
    <row r="46" spans="1:22" x14ac:dyDescent="0.2">
      <c r="A46" s="13">
        <v>35</v>
      </c>
      <c r="B46" s="10">
        <v>13.68</v>
      </c>
      <c r="C46" s="10">
        <f t="shared" si="5"/>
        <v>6.84</v>
      </c>
      <c r="D46" s="10">
        <f t="shared" si="6"/>
        <v>6.84</v>
      </c>
      <c r="R46" s="199">
        <v>25</v>
      </c>
      <c r="S46" s="200">
        <v>14</v>
      </c>
      <c r="T46" s="198">
        <v>6.5</v>
      </c>
      <c r="U46" s="195">
        <v>7.5</v>
      </c>
    </row>
    <row r="47" spans="1:22" x14ac:dyDescent="0.2">
      <c r="A47" s="13">
        <v>40</v>
      </c>
      <c r="B47" s="10">
        <v>13.53</v>
      </c>
      <c r="C47" s="10">
        <f t="shared" si="5"/>
        <v>6.7649999999999997</v>
      </c>
      <c r="D47" s="10">
        <f t="shared" si="6"/>
        <v>6.7649999999999997</v>
      </c>
      <c r="R47" s="192">
        <v>30</v>
      </c>
      <c r="S47" s="191">
        <v>13.83</v>
      </c>
      <c r="T47" s="198">
        <v>6.5</v>
      </c>
      <c r="U47" s="195">
        <v>7.33</v>
      </c>
    </row>
    <row r="48" spans="1:22" x14ac:dyDescent="0.2">
      <c r="R48" s="192">
        <v>35</v>
      </c>
      <c r="S48" s="191">
        <v>13.68</v>
      </c>
      <c r="T48" s="198">
        <v>6.5</v>
      </c>
      <c r="U48" s="195">
        <v>7.18</v>
      </c>
    </row>
    <row r="49" spans="18:21" x14ac:dyDescent="0.2">
      <c r="R49" s="192">
        <v>40</v>
      </c>
      <c r="S49" s="191">
        <v>13.53</v>
      </c>
      <c r="T49" s="198">
        <v>6.5</v>
      </c>
      <c r="U49" s="195">
        <v>7.0299999999999994</v>
      </c>
    </row>
  </sheetData>
  <mergeCells count="8">
    <mergeCell ref="M25:P25"/>
    <mergeCell ref="A1:D1"/>
    <mergeCell ref="R25:U25"/>
    <mergeCell ref="R38:U38"/>
    <mergeCell ref="A13:D13"/>
    <mergeCell ref="A25:D25"/>
    <mergeCell ref="A37:D37"/>
    <mergeCell ref="G25:J25"/>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5"/>
  <sheetViews>
    <sheetView workbookViewId="0"/>
  </sheetViews>
  <sheetFormatPr defaultColWidth="8.85546875" defaultRowHeight="12.75" x14ac:dyDescent="0.2"/>
  <cols>
    <col min="4" max="4" width="5.42578125" customWidth="1"/>
  </cols>
  <sheetData>
    <row r="1" spans="1:12" x14ac:dyDescent="0.2">
      <c r="A1" s="86"/>
      <c r="B1" s="86"/>
      <c r="C1" s="86"/>
      <c r="D1" s="86"/>
      <c r="E1" s="86"/>
      <c r="F1" s="86"/>
      <c r="G1" s="86"/>
      <c r="H1" s="86"/>
      <c r="I1" s="86"/>
      <c r="J1" s="86"/>
      <c r="K1" s="86"/>
      <c r="L1" s="86"/>
    </row>
    <row r="2" spans="1:12" x14ac:dyDescent="0.2">
      <c r="A2" s="86"/>
      <c r="B2" s="86"/>
      <c r="C2" s="86"/>
      <c r="D2" s="86"/>
      <c r="E2" s="86"/>
      <c r="F2" s="86"/>
      <c r="G2" s="86"/>
      <c r="H2" s="86"/>
      <c r="I2" s="86"/>
      <c r="J2" s="86"/>
      <c r="K2" s="86"/>
      <c r="L2" s="86"/>
    </row>
    <row r="3" spans="1:12" x14ac:dyDescent="0.2">
      <c r="A3" s="100" t="s">
        <v>144</v>
      </c>
      <c r="B3" s="86"/>
      <c r="C3" s="86"/>
      <c r="D3" s="86"/>
      <c r="E3" s="86"/>
      <c r="F3" s="86"/>
      <c r="G3" s="86"/>
      <c r="H3" s="86"/>
      <c r="I3" s="86"/>
      <c r="J3" s="86"/>
      <c r="K3" s="86"/>
      <c r="L3" s="86"/>
    </row>
    <row r="4" spans="1:12" x14ac:dyDescent="0.2">
      <c r="A4" s="100" t="s">
        <v>276</v>
      </c>
      <c r="B4" s="86"/>
      <c r="C4" s="86"/>
      <c r="D4" s="86"/>
      <c r="E4" s="86"/>
      <c r="F4" s="86"/>
      <c r="G4" s="86"/>
      <c r="H4" s="86"/>
      <c r="I4" s="86"/>
      <c r="J4" s="86"/>
      <c r="K4" s="86"/>
      <c r="L4" s="86"/>
    </row>
    <row r="5" spans="1:12" x14ac:dyDescent="0.2">
      <c r="A5" s="86"/>
      <c r="B5" s="86"/>
      <c r="C5" s="86"/>
      <c r="D5" s="86"/>
      <c r="E5" s="86"/>
      <c r="F5" s="86"/>
      <c r="G5" s="86"/>
      <c r="H5" s="86"/>
      <c r="I5" s="86"/>
      <c r="J5" s="86"/>
      <c r="K5" s="86"/>
      <c r="L5" s="86"/>
    </row>
    <row r="6" spans="1:12" x14ac:dyDescent="0.2">
      <c r="A6" s="101" t="s">
        <v>197</v>
      </c>
      <c r="B6" s="86"/>
      <c r="C6" s="86"/>
      <c r="D6" s="86"/>
      <c r="E6" s="86"/>
      <c r="F6" s="86"/>
      <c r="G6" s="86"/>
      <c r="H6" s="86"/>
      <c r="I6" s="86"/>
      <c r="J6" s="86"/>
      <c r="K6" s="86"/>
      <c r="L6" s="86"/>
    </row>
    <row r="7" spans="1:12" x14ac:dyDescent="0.2">
      <c r="A7" s="86"/>
      <c r="B7" s="86"/>
      <c r="C7" s="86"/>
      <c r="D7" s="86"/>
      <c r="E7" s="98"/>
      <c r="F7" s="98"/>
      <c r="G7" s="98"/>
      <c r="H7" s="86"/>
      <c r="I7" s="86"/>
      <c r="J7" s="86"/>
      <c r="K7" s="86"/>
      <c r="L7" s="86"/>
    </row>
    <row r="8" spans="1:12" x14ac:dyDescent="0.2">
      <c r="A8" s="102" t="s">
        <v>332</v>
      </c>
      <c r="B8" s="86"/>
      <c r="C8" s="86"/>
      <c r="D8" s="86"/>
      <c r="E8" s="98"/>
      <c r="F8" s="98"/>
      <c r="G8" s="98"/>
      <c r="H8" s="86"/>
      <c r="I8" s="86"/>
      <c r="J8" s="86"/>
      <c r="K8" s="86"/>
      <c r="L8" s="86"/>
    </row>
    <row r="9" spans="1:12" x14ac:dyDescent="0.2">
      <c r="A9" s="102" t="s">
        <v>249</v>
      </c>
      <c r="B9" s="86"/>
      <c r="C9" s="86"/>
      <c r="D9" s="86"/>
      <c r="E9" s="98"/>
      <c r="F9" s="98"/>
      <c r="G9" s="98"/>
      <c r="H9" s="86"/>
      <c r="I9" s="86"/>
      <c r="J9" s="86"/>
      <c r="K9" s="86"/>
      <c r="L9" s="86"/>
    </row>
    <row r="10" spans="1:12" x14ac:dyDescent="0.2">
      <c r="A10" s="102" t="s">
        <v>333</v>
      </c>
      <c r="B10" s="86"/>
      <c r="C10" s="86"/>
      <c r="D10" s="86"/>
      <c r="E10" s="98"/>
      <c r="F10" s="98"/>
      <c r="G10" s="98"/>
      <c r="H10" s="86"/>
      <c r="I10" s="86"/>
      <c r="J10" s="86"/>
      <c r="K10" s="86"/>
      <c r="L10" s="86"/>
    </row>
    <row r="11" spans="1:12" x14ac:dyDescent="0.2">
      <c r="A11" s="102" t="s">
        <v>250</v>
      </c>
      <c r="B11" s="86"/>
      <c r="C11" s="86"/>
      <c r="D11" s="86"/>
      <c r="E11" s="98"/>
      <c r="F11" s="98"/>
      <c r="G11" s="98"/>
      <c r="H11" s="86"/>
      <c r="I11" s="86"/>
      <c r="J11" s="86"/>
      <c r="K11" s="86"/>
      <c r="L11" s="86"/>
    </row>
    <row r="12" spans="1:12" x14ac:dyDescent="0.2">
      <c r="A12" s="102" t="s">
        <v>251</v>
      </c>
      <c r="B12" s="86"/>
      <c r="C12" s="86"/>
      <c r="D12" s="86"/>
      <c r="E12" s="99"/>
      <c r="F12" s="99"/>
      <c r="G12" s="99"/>
      <c r="H12" s="86"/>
      <c r="I12" s="86"/>
      <c r="J12" s="86"/>
      <c r="K12" s="86"/>
      <c r="L12" s="86"/>
    </row>
    <row r="13" spans="1:12" x14ac:dyDescent="0.2">
      <c r="A13" s="99" t="s">
        <v>254</v>
      </c>
      <c r="B13" s="86"/>
      <c r="C13" s="86"/>
      <c r="D13" s="86"/>
      <c r="E13" s="104"/>
      <c r="F13" s="105" t="s">
        <v>198</v>
      </c>
      <c r="G13" s="104"/>
      <c r="H13" s="86"/>
      <c r="I13" s="86"/>
      <c r="J13" s="86"/>
      <c r="K13" s="86"/>
      <c r="L13" s="86"/>
    </row>
    <row r="14" spans="1:12" x14ac:dyDescent="0.2">
      <c r="A14" s="99" t="s">
        <v>252</v>
      </c>
      <c r="B14" s="86"/>
      <c r="C14" s="86"/>
      <c r="D14" s="86"/>
      <c r="E14" s="86"/>
      <c r="F14" s="86"/>
      <c r="G14" s="86"/>
      <c r="H14" s="86"/>
      <c r="I14" s="86"/>
      <c r="J14" s="86"/>
      <c r="K14" s="86"/>
      <c r="L14" s="86"/>
    </row>
    <row r="15" spans="1:12" x14ac:dyDescent="0.2">
      <c r="A15" s="99"/>
      <c r="B15" s="86"/>
      <c r="C15" s="86"/>
      <c r="D15" s="86"/>
      <c r="E15" s="86"/>
      <c r="F15" s="86"/>
      <c r="G15" s="86"/>
      <c r="H15" s="86"/>
      <c r="I15" s="86"/>
      <c r="J15" s="86"/>
      <c r="K15" s="86"/>
      <c r="L15" s="86"/>
    </row>
    <row r="16" spans="1:12" x14ac:dyDescent="0.2">
      <c r="A16" s="86"/>
      <c r="B16" s="86"/>
      <c r="C16" s="86"/>
      <c r="D16" s="86"/>
      <c r="E16" s="86"/>
      <c r="F16" s="86"/>
      <c r="G16" s="86"/>
      <c r="H16" s="86"/>
      <c r="I16" s="86"/>
      <c r="J16" s="86"/>
      <c r="K16" s="86"/>
      <c r="L16" s="86"/>
    </row>
    <row r="17" spans="1:12" x14ac:dyDescent="0.2">
      <c r="A17" s="86"/>
      <c r="B17" s="86"/>
      <c r="C17" s="86"/>
      <c r="D17" s="86"/>
      <c r="E17" s="86"/>
      <c r="F17" s="86"/>
      <c r="G17" s="86"/>
      <c r="H17" s="86"/>
      <c r="I17" s="86"/>
      <c r="J17" s="86"/>
      <c r="K17" s="86"/>
      <c r="L17" s="86"/>
    </row>
    <row r="18" spans="1:12" x14ac:dyDescent="0.2">
      <c r="A18" s="103" t="s">
        <v>274</v>
      </c>
      <c r="B18" s="62"/>
      <c r="C18" s="62"/>
      <c r="D18" s="62"/>
      <c r="E18" s="62"/>
      <c r="F18" s="62"/>
      <c r="G18" s="62"/>
      <c r="H18" s="62"/>
      <c r="I18" s="62"/>
      <c r="J18" s="62"/>
      <c r="K18" s="62"/>
      <c r="L18" s="62"/>
    </row>
    <row r="19" spans="1:12" x14ac:dyDescent="0.2">
      <c r="A19" s="103" t="s">
        <v>202</v>
      </c>
      <c r="B19" s="62"/>
      <c r="C19" s="62"/>
      <c r="D19" s="62"/>
      <c r="E19" s="62"/>
      <c r="F19" s="62"/>
      <c r="G19" s="62"/>
      <c r="H19" s="62"/>
      <c r="I19" s="62"/>
      <c r="J19" s="62"/>
      <c r="K19" s="62"/>
      <c r="L19" s="62"/>
    </row>
    <row r="20" spans="1:12" x14ac:dyDescent="0.2">
      <c r="A20" s="86"/>
      <c r="B20" s="86"/>
      <c r="C20" s="86"/>
      <c r="D20" s="86"/>
      <c r="E20" s="86"/>
      <c r="F20" s="86"/>
      <c r="G20" s="86"/>
      <c r="H20" s="86"/>
      <c r="I20" s="86"/>
      <c r="J20" s="86"/>
      <c r="K20" s="86"/>
      <c r="L20" s="86"/>
    </row>
    <row r="21" spans="1:12" x14ac:dyDescent="0.2">
      <c r="A21" s="86"/>
      <c r="B21" s="86"/>
      <c r="C21" s="86"/>
      <c r="D21" s="86"/>
      <c r="E21" s="86"/>
      <c r="F21" s="86"/>
      <c r="G21" s="86"/>
      <c r="H21" s="86"/>
      <c r="I21" s="86"/>
      <c r="J21" s="86"/>
      <c r="K21" s="86"/>
      <c r="L21" s="86"/>
    </row>
    <row r="22" spans="1:12" x14ac:dyDescent="0.2">
      <c r="A22" s="86"/>
      <c r="B22" s="86"/>
      <c r="C22" s="86"/>
      <c r="D22" s="86"/>
      <c r="E22" s="86"/>
      <c r="F22" s="86"/>
      <c r="G22" s="86"/>
      <c r="H22" s="86"/>
      <c r="I22" s="86"/>
      <c r="J22" s="86"/>
      <c r="K22" s="86"/>
      <c r="L22" s="86"/>
    </row>
    <row r="23" spans="1:12" x14ac:dyDescent="0.2">
      <c r="A23" s="86"/>
      <c r="B23" s="86"/>
      <c r="C23" s="86"/>
      <c r="D23" s="86"/>
      <c r="E23" s="86"/>
      <c r="F23" s="86"/>
      <c r="G23" s="86"/>
      <c r="H23" s="86"/>
      <c r="I23" s="86"/>
      <c r="J23" s="86"/>
      <c r="K23" s="86"/>
      <c r="L23" s="86"/>
    </row>
    <row r="24" spans="1:12" x14ac:dyDescent="0.2">
      <c r="A24" s="86"/>
      <c r="B24" s="86"/>
      <c r="C24" s="86"/>
      <c r="D24" s="86"/>
      <c r="E24" s="86"/>
      <c r="F24" s="86"/>
      <c r="G24" s="86"/>
      <c r="H24" s="86"/>
      <c r="I24" s="86"/>
      <c r="J24" s="86"/>
      <c r="K24" s="86"/>
      <c r="L24" s="86"/>
    </row>
    <row r="25" spans="1:12" x14ac:dyDescent="0.2">
      <c r="A25" s="86"/>
      <c r="B25" s="86"/>
      <c r="C25" s="86"/>
      <c r="D25" s="86"/>
      <c r="E25" s="86"/>
      <c r="F25" s="86"/>
      <c r="G25" s="86"/>
      <c r="H25" s="86"/>
      <c r="I25" s="86"/>
      <c r="J25" s="86"/>
      <c r="K25" s="86"/>
      <c r="L25" s="86"/>
    </row>
  </sheetData>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Photoshop.Image.6" shapeId="2049" r:id="rId4">
          <objectPr defaultSize="0" r:id="rId5">
            <anchor moveWithCells="1">
              <from>
                <xdr:col>4</xdr:col>
                <xdr:colOff>381000</xdr:colOff>
                <xdr:row>6</xdr:row>
                <xdr:rowOff>66675</xdr:rowOff>
              </from>
              <to>
                <xdr:col>6</xdr:col>
                <xdr:colOff>238125</xdr:colOff>
                <xdr:row>11</xdr:row>
                <xdr:rowOff>57150</xdr:rowOff>
              </to>
            </anchor>
          </objectPr>
        </oleObject>
      </mc:Choice>
      <mc:Fallback>
        <oleObject progId="Photoshop.Image.6" shapeId="204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workbookViewId="0">
      <selection activeCell="A2" sqref="A2"/>
    </sheetView>
  </sheetViews>
  <sheetFormatPr defaultColWidth="8.85546875" defaultRowHeight="12.75" x14ac:dyDescent="0.2"/>
  <cols>
    <col min="7" max="7" width="9.85546875" customWidth="1"/>
  </cols>
  <sheetData>
    <row r="1" spans="1:10" ht="15.75" x14ac:dyDescent="0.25">
      <c r="A1" s="17" t="s">
        <v>201</v>
      </c>
    </row>
    <row r="3" spans="1:10" x14ac:dyDescent="0.2">
      <c r="A3" t="s">
        <v>189</v>
      </c>
    </row>
    <row r="4" spans="1:10" x14ac:dyDescent="0.2">
      <c r="A4" t="s">
        <v>317</v>
      </c>
    </row>
    <row r="5" spans="1:10" x14ac:dyDescent="0.2">
      <c r="A5" t="s">
        <v>318</v>
      </c>
      <c r="H5" s="62"/>
      <c r="I5" s="62"/>
    </row>
    <row r="6" spans="1:10" x14ac:dyDescent="0.2">
      <c r="A6" s="41" t="s">
        <v>319</v>
      </c>
      <c r="I6" s="113"/>
      <c r="J6" s="66"/>
    </row>
    <row r="7" spans="1:10" x14ac:dyDescent="0.2">
      <c r="A7" t="s">
        <v>241</v>
      </c>
    </row>
    <row r="8" spans="1:10" x14ac:dyDescent="0.2">
      <c r="A8" t="s">
        <v>192</v>
      </c>
    </row>
    <row r="9" spans="1:10" x14ac:dyDescent="0.2">
      <c r="A9" t="s">
        <v>242</v>
      </c>
    </row>
    <row r="10" spans="1:10" x14ac:dyDescent="0.2">
      <c r="A10" t="s">
        <v>190</v>
      </c>
    </row>
    <row r="11" spans="1:10" x14ac:dyDescent="0.2">
      <c r="A11" t="s">
        <v>191</v>
      </c>
    </row>
    <row r="12" spans="1:10" x14ac:dyDescent="0.2">
      <c r="A12" t="s">
        <v>193</v>
      </c>
    </row>
    <row r="13" spans="1:10" x14ac:dyDescent="0.2">
      <c r="A13" t="s">
        <v>194</v>
      </c>
    </row>
    <row r="14" spans="1:10" x14ac:dyDescent="0.2">
      <c r="A14" t="s">
        <v>195</v>
      </c>
    </row>
    <row r="15" spans="1:10" x14ac:dyDescent="0.2">
      <c r="A15" t="s">
        <v>196</v>
      </c>
    </row>
    <row r="16" spans="1:10" x14ac:dyDescent="0.2">
      <c r="A16" t="s">
        <v>243</v>
      </c>
    </row>
    <row r="17" spans="1:1" x14ac:dyDescent="0.2">
      <c r="A17" t="s">
        <v>244</v>
      </c>
    </row>
    <row r="18" spans="1:1" x14ac:dyDescent="0.2">
      <c r="A18" t="s">
        <v>245</v>
      </c>
    </row>
    <row r="19" spans="1:1" x14ac:dyDescent="0.2">
      <c r="A19" t="s">
        <v>247</v>
      </c>
    </row>
    <row r="20" spans="1:1" x14ac:dyDescent="0.2">
      <c r="A20" t="s">
        <v>248</v>
      </c>
    </row>
    <row r="21" spans="1:1" x14ac:dyDescent="0.2">
      <c r="A21" t="s">
        <v>320</v>
      </c>
    </row>
    <row r="23" spans="1:1" x14ac:dyDescent="0.2">
      <c r="A23" s="40" t="s">
        <v>321</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
  <sheetViews>
    <sheetView workbookViewId="0">
      <selection activeCell="A2" sqref="A2"/>
    </sheetView>
  </sheetViews>
  <sheetFormatPr defaultColWidth="8.85546875" defaultRowHeight="12.75" x14ac:dyDescent="0.2"/>
  <sheetData>
    <row r="1" spans="1:1" ht="15.75" x14ac:dyDescent="0.25">
      <c r="A1" s="17" t="s">
        <v>174</v>
      </c>
    </row>
    <row r="2" spans="1:1" ht="15.75" x14ac:dyDescent="0.25">
      <c r="A2" s="17"/>
    </row>
    <row r="3" spans="1:1" x14ac:dyDescent="0.2">
      <c r="A3" s="41" t="s">
        <v>232</v>
      </c>
    </row>
    <row r="4" spans="1:1" x14ac:dyDescent="0.2">
      <c r="A4" s="41" t="s">
        <v>187</v>
      </c>
    </row>
    <row r="5" spans="1:1" ht="6" customHeight="1" x14ac:dyDescent="0.2">
      <c r="A5" s="41"/>
    </row>
    <row r="6" spans="1:1" x14ac:dyDescent="0.2">
      <c r="A6" s="41" t="s">
        <v>170</v>
      </c>
    </row>
    <row r="7" spans="1:1" x14ac:dyDescent="0.2">
      <c r="A7" s="41" t="s">
        <v>171</v>
      </c>
    </row>
    <row r="8" spans="1:1" x14ac:dyDescent="0.2">
      <c r="A8" s="41" t="s">
        <v>188</v>
      </c>
    </row>
    <row r="9" spans="1:1" ht="6" customHeight="1" x14ac:dyDescent="0.2">
      <c r="A9" s="41"/>
    </row>
    <row r="10" spans="1:1" x14ac:dyDescent="0.2">
      <c r="A10" s="41" t="s">
        <v>199</v>
      </c>
    </row>
    <row r="11" spans="1:1" x14ac:dyDescent="0.2">
      <c r="A11" s="41" t="s">
        <v>200</v>
      </c>
    </row>
    <row r="12" spans="1:1" ht="6.6" customHeight="1" x14ac:dyDescent="0.2">
      <c r="A12" s="41"/>
    </row>
    <row r="13" spans="1:1" x14ac:dyDescent="0.2">
      <c r="A13" s="41" t="s">
        <v>186</v>
      </c>
    </row>
    <row r="14" spans="1:1" x14ac:dyDescent="0.2">
      <c r="A14" s="41" t="s">
        <v>168</v>
      </c>
    </row>
    <row r="15" spans="1:1" ht="6.6" customHeight="1" x14ac:dyDescent="0.2">
      <c r="A15" s="41"/>
    </row>
    <row r="16" spans="1:1" x14ac:dyDescent="0.2">
      <c r="A16" s="41" t="s">
        <v>169</v>
      </c>
    </row>
    <row r="17" spans="1:10" x14ac:dyDescent="0.2">
      <c r="A17" s="41" t="s">
        <v>165</v>
      </c>
    </row>
    <row r="18" spans="1:10" x14ac:dyDescent="0.2">
      <c r="A18" s="41" t="s">
        <v>166</v>
      </c>
    </row>
    <row r="19" spans="1:10" x14ac:dyDescent="0.2">
      <c r="A19" s="41" t="s">
        <v>167</v>
      </c>
    </row>
    <row r="20" spans="1:10" ht="5.0999999999999996" customHeight="1" x14ac:dyDescent="0.2">
      <c r="A20" s="41"/>
    </row>
    <row r="21" spans="1:10" x14ac:dyDescent="0.2">
      <c r="A21" s="41" t="s">
        <v>172</v>
      </c>
    </row>
    <row r="22" spans="1:10" ht="6.6" customHeight="1" x14ac:dyDescent="0.2"/>
    <row r="23" spans="1:10" x14ac:dyDescent="0.2">
      <c r="A23" s="42" t="s">
        <v>173</v>
      </c>
      <c r="C23" s="43" t="s">
        <v>176</v>
      </c>
    </row>
    <row r="24" spans="1:10" x14ac:dyDescent="0.2">
      <c r="A24" s="42"/>
      <c r="C24" s="46" t="s">
        <v>216</v>
      </c>
      <c r="I24" s="62"/>
      <c r="J24" s="62"/>
    </row>
    <row r="25" spans="1:10" x14ac:dyDescent="0.2">
      <c r="C25" s="51" t="s">
        <v>177</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A47"/>
  <sheetViews>
    <sheetView tabSelected="1" workbookViewId="0">
      <selection activeCell="K7" sqref="K7"/>
    </sheetView>
  </sheetViews>
  <sheetFormatPr defaultColWidth="8.85546875" defaultRowHeight="12.75" x14ac:dyDescent="0.2"/>
  <cols>
    <col min="1" max="1" width="34.5703125" customWidth="1"/>
    <col min="2" max="2" width="14.140625" customWidth="1"/>
    <col min="4" max="4" width="10.7109375" bestFit="1" customWidth="1"/>
    <col min="5" max="5" width="10.140625" bestFit="1" customWidth="1"/>
    <col min="6" max="6" width="11.42578125" customWidth="1"/>
    <col min="8" max="8" width="6.5703125" customWidth="1"/>
    <col min="10" max="10" width="15.7109375" customWidth="1"/>
    <col min="11" max="11" width="7.140625" customWidth="1"/>
    <col min="12" max="12" width="5.28515625" bestFit="1" customWidth="1"/>
    <col min="13" max="13" width="11.7109375" customWidth="1"/>
    <col min="14" max="15" width="3.28515625" bestFit="1" customWidth="1"/>
    <col min="16" max="16" width="5.5703125" customWidth="1"/>
    <col min="17" max="17" width="6.42578125" customWidth="1"/>
    <col min="18" max="18" width="8.42578125" customWidth="1"/>
    <col min="19" max="19" width="4.5703125" customWidth="1"/>
    <col min="20" max="20" width="3" customWidth="1"/>
    <col min="21" max="21" width="7.28515625" customWidth="1"/>
    <col min="24" max="24" width="9" customWidth="1"/>
    <col min="27" max="27" width="17.5703125" customWidth="1"/>
  </cols>
  <sheetData>
    <row r="1" spans="1:18" ht="15" x14ac:dyDescent="0.25">
      <c r="A1" s="120" t="s">
        <v>128</v>
      </c>
      <c r="B1" s="120" t="s">
        <v>129</v>
      </c>
      <c r="C1" s="121" t="s">
        <v>72</v>
      </c>
      <c r="D1" s="120" t="s">
        <v>71</v>
      </c>
    </row>
    <row r="2" spans="1:18" ht="15" thickBot="1" x14ac:dyDescent="0.25">
      <c r="A2" s="122"/>
      <c r="B2" s="122"/>
      <c r="C2" s="158"/>
      <c r="D2" s="122"/>
    </row>
    <row r="3" spans="1:18" ht="15.75" thickBot="1" x14ac:dyDescent="0.3">
      <c r="A3" s="123" t="s">
        <v>290</v>
      </c>
      <c r="B3" s="156" t="s">
        <v>124</v>
      </c>
      <c r="C3" s="159">
        <v>0.52</v>
      </c>
      <c r="D3" s="157" t="s">
        <v>76</v>
      </c>
      <c r="F3" s="153" t="s">
        <v>218</v>
      </c>
      <c r="G3" s="154"/>
      <c r="H3" s="155"/>
    </row>
    <row r="4" spans="1:18" ht="15.75" thickBot="1" x14ac:dyDescent="0.3">
      <c r="A4" s="123" t="s">
        <v>291</v>
      </c>
      <c r="B4" s="156" t="s">
        <v>124</v>
      </c>
      <c r="C4" s="159">
        <v>1.53</v>
      </c>
      <c r="D4" s="157" t="s">
        <v>308</v>
      </c>
    </row>
    <row r="5" spans="1:18" ht="17.25" thickTop="1" thickBot="1" x14ac:dyDescent="0.3">
      <c r="A5" s="123" t="s">
        <v>130</v>
      </c>
      <c r="B5" s="156" t="s">
        <v>124</v>
      </c>
      <c r="C5" s="159">
        <v>2.65</v>
      </c>
      <c r="D5" s="157" t="s">
        <v>78</v>
      </c>
      <c r="F5" s="166" t="s">
        <v>296</v>
      </c>
      <c r="G5" s="151"/>
      <c r="H5" s="151"/>
      <c r="I5" s="151"/>
      <c r="J5" s="151"/>
      <c r="K5" s="151"/>
      <c r="L5" s="151"/>
      <c r="M5" s="151"/>
      <c r="N5" s="151"/>
      <c r="O5" s="151"/>
      <c r="P5" s="151"/>
      <c r="Q5" s="151"/>
      <c r="R5" s="152"/>
    </row>
    <row r="6" spans="1:18" ht="15.75" thickBot="1" x14ac:dyDescent="0.3">
      <c r="A6" s="123" t="s">
        <v>306</v>
      </c>
      <c r="B6" s="156" t="s">
        <v>124</v>
      </c>
      <c r="C6" s="159">
        <v>1</v>
      </c>
      <c r="D6" s="157" t="s">
        <v>127</v>
      </c>
      <c r="F6" s="143" t="s">
        <v>297</v>
      </c>
      <c r="G6" s="144"/>
      <c r="H6" s="144"/>
      <c r="I6" s="144"/>
      <c r="J6" s="144"/>
      <c r="K6" s="145">
        <f>B45</f>
        <v>7888.5877853967368</v>
      </c>
      <c r="L6" s="146" t="str">
        <f>C45</f>
        <v>gpm</v>
      </c>
      <c r="M6" s="146" t="s">
        <v>343</v>
      </c>
      <c r="N6" s="147">
        <f>F45</f>
        <v>4.9692037493157635</v>
      </c>
      <c r="O6" s="146" t="s">
        <v>134</v>
      </c>
      <c r="P6" s="144"/>
      <c r="Q6" s="144"/>
      <c r="R6" s="150"/>
    </row>
    <row r="7" spans="1:18" ht="15.75" thickBot="1" x14ac:dyDescent="0.3">
      <c r="A7" s="123"/>
      <c r="B7" s="123"/>
      <c r="C7" s="160"/>
      <c r="D7" s="123"/>
      <c r="F7" s="180" t="s">
        <v>302</v>
      </c>
      <c r="G7" s="181"/>
      <c r="H7" s="181"/>
      <c r="I7" s="181"/>
      <c r="J7" s="181"/>
      <c r="K7" s="182">
        <f>D26</f>
        <v>1119.036606167198</v>
      </c>
      <c r="L7" s="183" t="str">
        <f>C46</f>
        <v>gpm</v>
      </c>
      <c r="M7" s="183" t="s">
        <v>343</v>
      </c>
      <c r="N7" s="184">
        <f>F20</f>
        <v>12.840080662761579</v>
      </c>
      <c r="O7" s="183" t="s">
        <v>134</v>
      </c>
      <c r="P7" s="181"/>
      <c r="Q7" s="144"/>
      <c r="R7" s="150"/>
    </row>
    <row r="8" spans="1:18" ht="15.75" thickBot="1" x14ac:dyDescent="0.3">
      <c r="A8" s="123" t="s">
        <v>290</v>
      </c>
      <c r="B8" s="156" t="s">
        <v>125</v>
      </c>
      <c r="C8" s="159">
        <v>1.01</v>
      </c>
      <c r="D8" s="157" t="s">
        <v>76</v>
      </c>
      <c r="F8" s="143" t="s">
        <v>335</v>
      </c>
      <c r="G8" s="144"/>
      <c r="H8" s="144"/>
      <c r="I8" s="144"/>
      <c r="J8" s="144"/>
      <c r="K8" s="145">
        <f>D27</f>
        <v>1865.0124801645882</v>
      </c>
      <c r="L8" s="146" t="s">
        <v>29</v>
      </c>
      <c r="M8" s="146" t="s">
        <v>343</v>
      </c>
      <c r="N8" s="147">
        <f>F21</f>
        <v>7.7042488672792988</v>
      </c>
      <c r="O8" s="146" t="s">
        <v>134</v>
      </c>
      <c r="P8" s="144"/>
      <c r="Q8" s="144"/>
      <c r="R8" s="150"/>
    </row>
    <row r="9" spans="1:18" ht="15.75" thickBot="1" x14ac:dyDescent="0.3">
      <c r="A9" s="123" t="s">
        <v>291</v>
      </c>
      <c r="B9" s="156" t="s">
        <v>125</v>
      </c>
      <c r="C9" s="159">
        <v>1.49</v>
      </c>
      <c r="D9" s="157" t="s">
        <v>308</v>
      </c>
      <c r="F9" s="143" t="s">
        <v>334</v>
      </c>
      <c r="G9" s="144"/>
      <c r="H9" s="144"/>
      <c r="I9" s="144"/>
      <c r="J9" s="144"/>
      <c r="K9" s="145">
        <f>D28</f>
        <v>4051.7584514651662</v>
      </c>
      <c r="L9" s="146" t="s">
        <v>29</v>
      </c>
      <c r="M9" s="146" t="s">
        <v>343</v>
      </c>
      <c r="N9" s="147">
        <f>F22</f>
        <v>3.5462430596211747</v>
      </c>
      <c r="O9" s="146" t="s">
        <v>134</v>
      </c>
      <c r="P9" s="144"/>
      <c r="Q9" s="144"/>
      <c r="R9" s="150"/>
    </row>
    <row r="10" spans="1:18" ht="15.75" thickBot="1" x14ac:dyDescent="0.3">
      <c r="A10" s="123" t="s">
        <v>130</v>
      </c>
      <c r="B10" s="156" t="s">
        <v>125</v>
      </c>
      <c r="C10" s="159">
        <v>1.55</v>
      </c>
      <c r="D10" s="157" t="s">
        <v>78</v>
      </c>
      <c r="F10" s="185" t="s">
        <v>304</v>
      </c>
      <c r="G10" s="144"/>
      <c r="H10" s="144"/>
      <c r="I10" s="144"/>
      <c r="J10" s="144"/>
      <c r="K10" s="144"/>
      <c r="L10" s="144"/>
      <c r="M10" s="144"/>
      <c r="N10" s="144"/>
      <c r="O10" s="144"/>
      <c r="P10" s="144"/>
      <c r="Q10" s="144"/>
      <c r="R10" s="150"/>
    </row>
    <row r="11" spans="1:18" ht="15.75" thickBot="1" x14ac:dyDescent="0.3">
      <c r="A11" s="123" t="s">
        <v>306</v>
      </c>
      <c r="B11" s="156" t="s">
        <v>125</v>
      </c>
      <c r="C11" s="159">
        <v>1.5</v>
      </c>
      <c r="D11" s="157" t="s">
        <v>127</v>
      </c>
      <c r="F11" s="186" t="s">
        <v>303</v>
      </c>
      <c r="G11" s="148"/>
      <c r="H11" s="148"/>
      <c r="I11" s="148"/>
      <c r="J11" s="148"/>
      <c r="K11" s="148"/>
      <c r="L11" s="148"/>
      <c r="M11" s="148"/>
      <c r="N11" s="148"/>
      <c r="O11" s="148"/>
      <c r="P11" s="148"/>
      <c r="Q11" s="148"/>
      <c r="R11" s="149"/>
    </row>
    <row r="12" spans="1:18" ht="15.75" thickBot="1" x14ac:dyDescent="0.3">
      <c r="A12" s="120"/>
      <c r="B12" s="123"/>
      <c r="C12" s="160"/>
      <c r="D12" s="123"/>
    </row>
    <row r="13" spans="1:18" ht="15.75" thickBot="1" x14ac:dyDescent="0.3">
      <c r="A13" s="123" t="s">
        <v>126</v>
      </c>
      <c r="B13" s="156" t="s">
        <v>141</v>
      </c>
      <c r="C13" s="159">
        <v>3</v>
      </c>
      <c r="D13" s="157" t="s">
        <v>127</v>
      </c>
      <c r="E13" s="162" t="s">
        <v>294</v>
      </c>
      <c r="F13" s="162" t="s">
        <v>295</v>
      </c>
      <c r="G13" s="114" t="s">
        <v>293</v>
      </c>
    </row>
    <row r="14" spans="1:18" ht="15.75" thickBot="1" x14ac:dyDescent="0.3">
      <c r="A14" s="123" t="s">
        <v>307</v>
      </c>
      <c r="B14" s="123" t="s">
        <v>140</v>
      </c>
      <c r="C14" s="161">
        <f>G14</f>
        <v>392</v>
      </c>
      <c r="D14" s="156" t="s">
        <v>30</v>
      </c>
      <c r="E14" s="167">
        <v>14</v>
      </c>
      <c r="F14" s="167">
        <v>28</v>
      </c>
      <c r="G14" s="161">
        <f>E14*F14</f>
        <v>392</v>
      </c>
    </row>
    <row r="15" spans="1:18" ht="15.75" thickBot="1" x14ac:dyDescent="0.3">
      <c r="A15" s="120"/>
      <c r="B15" s="123"/>
      <c r="C15" s="164"/>
      <c r="D15" s="123"/>
    </row>
    <row r="16" spans="1:18" ht="15.75" thickBot="1" x14ac:dyDescent="0.3">
      <c r="A16" s="123" t="s">
        <v>142</v>
      </c>
      <c r="B16" s="163" t="s">
        <v>275</v>
      </c>
      <c r="C16" s="165">
        <v>12</v>
      </c>
      <c r="D16" s="157" t="s">
        <v>345</v>
      </c>
      <c r="E16" s="168" t="s">
        <v>305</v>
      </c>
      <c r="F16" s="26"/>
      <c r="G16" s="26"/>
      <c r="H16" s="26"/>
      <c r="I16" s="26"/>
      <c r="J16" s="26"/>
      <c r="K16" s="26"/>
      <c r="L16" s="26"/>
      <c r="M16" s="26"/>
      <c r="N16" s="26"/>
    </row>
    <row r="17" spans="1:24" x14ac:dyDescent="0.2">
      <c r="A17" s="36"/>
      <c r="B17" s="36"/>
      <c r="C17" s="37"/>
      <c r="D17" s="36"/>
    </row>
    <row r="18" spans="1:24" x14ac:dyDescent="0.2">
      <c r="A18" s="65" t="s">
        <v>217</v>
      </c>
      <c r="B18" s="66"/>
      <c r="F18" s="12" t="s">
        <v>136</v>
      </c>
    </row>
    <row r="19" spans="1:24" x14ac:dyDescent="0.2">
      <c r="A19" s="1"/>
      <c r="B19" s="9" t="s">
        <v>1</v>
      </c>
      <c r="C19" s="9" t="s">
        <v>2</v>
      </c>
      <c r="D19" s="52" t="s">
        <v>132</v>
      </c>
      <c r="E19" s="1" t="s">
        <v>71</v>
      </c>
      <c r="F19" s="5" t="s">
        <v>133</v>
      </c>
      <c r="G19" s="1" t="s">
        <v>71</v>
      </c>
    </row>
    <row r="20" spans="1:24" ht="15" x14ac:dyDescent="0.25">
      <c r="A20" s="124" t="s">
        <v>131</v>
      </c>
      <c r="B20" s="125">
        <f>'8. ETSW-Sand'!E34</f>
        <v>2.5462785596855486</v>
      </c>
      <c r="C20" s="125">
        <f>'9. ETSW-Anthr'!E34</f>
        <v>3.1630918799430123</v>
      </c>
      <c r="D20" s="126">
        <f>(B20+C20)/2</f>
        <v>2.8546852198142805</v>
      </c>
      <c r="E20" s="139" t="s">
        <v>114</v>
      </c>
      <c r="F20" s="126">
        <f>('6. ETSW Time'!F9+'6. ETSW Time'!F10)/2</f>
        <v>12.840080662761579</v>
      </c>
      <c r="G20" s="139" t="s">
        <v>134</v>
      </c>
      <c r="H20" s="127"/>
      <c r="I20" s="128" t="s">
        <v>336</v>
      </c>
      <c r="J20" s="129"/>
      <c r="K20" s="112"/>
      <c r="L20" s="111"/>
      <c r="M20" s="111"/>
      <c r="N20" s="95"/>
      <c r="O20" s="95"/>
      <c r="P20" s="95"/>
    </row>
    <row r="21" spans="1:24" x14ac:dyDescent="0.2">
      <c r="A21" s="114" t="s">
        <v>358</v>
      </c>
      <c r="B21" s="18">
        <f>'8. ETSW-Sand'!E38</f>
        <v>4.2842548576416544</v>
      </c>
      <c r="C21" s="18">
        <f>'9. ETSW-Anthr'!E38</f>
        <v>5.2311149391164484</v>
      </c>
      <c r="D21" s="18">
        <f>(B21+C21)/2</f>
        <v>4.7576848983790514</v>
      </c>
      <c r="E21" s="140" t="s">
        <v>114</v>
      </c>
      <c r="F21" s="18">
        <f>('6. ETSW Time'!G9+'6. ETSW Time'!G10)/2</f>
        <v>7.7042488672792988</v>
      </c>
      <c r="G21" s="140" t="s">
        <v>134</v>
      </c>
      <c r="J21" s="142" t="s">
        <v>299</v>
      </c>
      <c r="K21" s="111"/>
      <c r="L21" s="111"/>
      <c r="M21" s="111"/>
      <c r="N21" s="111"/>
      <c r="O21" s="111"/>
      <c r="P21" s="111"/>
      <c r="Q21" s="111"/>
      <c r="R21" s="111"/>
      <c r="S21" s="111"/>
      <c r="T21" s="111"/>
      <c r="U21" s="111"/>
      <c r="V21" s="111"/>
      <c r="W21" s="111"/>
      <c r="X21" s="111"/>
    </row>
    <row r="22" spans="1:24" x14ac:dyDescent="0.2">
      <c r="A22" s="114" t="s">
        <v>278</v>
      </c>
      <c r="B22" s="18">
        <f>'10. Vmf-Sand'!E34</f>
        <v>9.9379895537284497</v>
      </c>
      <c r="C22" s="18">
        <f>'11. Vmf-Anthracite'!E34</f>
        <v>10.734247443542806</v>
      </c>
      <c r="D22" s="18">
        <f>(B22+C22)/2</f>
        <v>10.336118498635628</v>
      </c>
      <c r="E22" s="140" t="s">
        <v>114</v>
      </c>
      <c r="F22" s="18">
        <f>('6. ETSW Time'!J9+'6. ETSW Time'!J10)/2</f>
        <v>3.5462430596211747</v>
      </c>
      <c r="G22" s="140" t="s">
        <v>134</v>
      </c>
      <c r="J22" s="142" t="s">
        <v>298</v>
      </c>
      <c r="K22" s="111"/>
      <c r="L22" s="111"/>
      <c r="M22" s="111"/>
      <c r="N22" s="111"/>
      <c r="O22" s="111"/>
      <c r="P22" s="111"/>
      <c r="Q22" s="111"/>
      <c r="R22" s="111"/>
      <c r="S22" s="111"/>
      <c r="T22" s="111"/>
      <c r="U22" s="111"/>
      <c r="V22" s="111"/>
      <c r="W22" s="111"/>
      <c r="X22" s="111"/>
    </row>
    <row r="23" spans="1:24" x14ac:dyDescent="0.2">
      <c r="A23" s="114" t="s">
        <v>359</v>
      </c>
      <c r="B23" s="18">
        <f>'10. Vmf-Sand'!E38</f>
        <v>15.360321597541894</v>
      </c>
      <c r="C23" s="18">
        <f>'11. Vmf-Anthracite'!E38</f>
        <v>15.599599067280463</v>
      </c>
      <c r="D23" s="18">
        <f>(B23+C23)/2</f>
        <v>15.479960332411178</v>
      </c>
      <c r="E23" s="140" t="s">
        <v>114</v>
      </c>
      <c r="F23" s="18">
        <f>('6. ETSW Time'!K9+'6. ETSW Time'!K10)/2</f>
        <v>2.367860621222877</v>
      </c>
      <c r="G23" s="140" t="s">
        <v>134</v>
      </c>
    </row>
    <row r="24" spans="1:24" x14ac:dyDescent="0.2">
      <c r="F24" s="12" t="s">
        <v>136</v>
      </c>
    </row>
    <row r="25" spans="1:24" x14ac:dyDescent="0.2">
      <c r="A25" s="1"/>
      <c r="B25" s="9" t="s">
        <v>1</v>
      </c>
      <c r="C25" s="9" t="s">
        <v>2</v>
      </c>
      <c r="D25" s="52" t="s">
        <v>132</v>
      </c>
      <c r="E25" s="1" t="s">
        <v>71</v>
      </c>
      <c r="F25" s="5" t="s">
        <v>133</v>
      </c>
      <c r="G25" s="1" t="s">
        <v>71</v>
      </c>
    </row>
    <row r="26" spans="1:24" ht="15" x14ac:dyDescent="0.25">
      <c r="A26" s="124" t="s">
        <v>131</v>
      </c>
      <c r="B26" s="130">
        <f>B20*$C$14</f>
        <v>998.14119539673504</v>
      </c>
      <c r="C26" s="130">
        <f>C20*$C$14</f>
        <v>1239.9320169376608</v>
      </c>
      <c r="D26" s="131">
        <f>D20*$C$14</f>
        <v>1119.036606167198</v>
      </c>
      <c r="E26" s="139" t="s">
        <v>135</v>
      </c>
      <c r="F26" s="126">
        <f>F20</f>
        <v>12.840080662761579</v>
      </c>
      <c r="G26" s="139" t="s">
        <v>134</v>
      </c>
      <c r="H26" s="127"/>
      <c r="I26" s="128" t="s">
        <v>337</v>
      </c>
      <c r="J26" s="129"/>
      <c r="K26" s="112"/>
      <c r="L26" s="111"/>
      <c r="M26" s="111"/>
      <c r="N26" s="95"/>
      <c r="O26" s="95"/>
      <c r="P26" s="95"/>
    </row>
    <row r="27" spans="1:24" x14ac:dyDescent="0.2">
      <c r="A27" s="114" t="s">
        <v>358</v>
      </c>
      <c r="B27" s="39">
        <f t="shared" ref="B27:D29" si="0">B21*$C$14</f>
        <v>1679.4279041955285</v>
      </c>
      <c r="C27" s="39">
        <f t="shared" si="0"/>
        <v>2050.5970561336476</v>
      </c>
      <c r="D27" s="39">
        <f t="shared" si="0"/>
        <v>1865.0124801645882</v>
      </c>
      <c r="E27" s="140" t="s">
        <v>135</v>
      </c>
      <c r="F27" s="18">
        <f>F21</f>
        <v>7.7042488672792988</v>
      </c>
      <c r="G27" s="140" t="s">
        <v>134</v>
      </c>
      <c r="J27" s="142" t="s">
        <v>299</v>
      </c>
      <c r="K27" s="111"/>
      <c r="L27" s="111"/>
      <c r="M27" s="111"/>
      <c r="N27" s="111"/>
      <c r="O27" s="111"/>
      <c r="P27" s="111"/>
      <c r="Q27" s="111"/>
      <c r="R27" s="111"/>
      <c r="S27" s="111"/>
      <c r="T27" s="111"/>
      <c r="U27" s="111"/>
      <c r="V27" s="111"/>
      <c r="W27" s="111"/>
      <c r="X27" s="111"/>
    </row>
    <row r="28" spans="1:24" x14ac:dyDescent="0.2">
      <c r="A28" s="114" t="s">
        <v>278</v>
      </c>
      <c r="B28" s="39">
        <f t="shared" si="0"/>
        <v>3895.6919050615525</v>
      </c>
      <c r="C28" s="39">
        <f t="shared" si="0"/>
        <v>4207.82499786878</v>
      </c>
      <c r="D28" s="39">
        <f t="shared" si="0"/>
        <v>4051.7584514651662</v>
      </c>
      <c r="E28" s="140" t="s">
        <v>135</v>
      </c>
      <c r="F28" s="18">
        <f>F22</f>
        <v>3.5462430596211747</v>
      </c>
      <c r="G28" s="140" t="s">
        <v>134</v>
      </c>
      <c r="J28" s="142" t="s">
        <v>298</v>
      </c>
      <c r="K28" s="111"/>
      <c r="L28" s="111"/>
      <c r="M28" s="111"/>
      <c r="N28" s="111"/>
      <c r="O28" s="111"/>
      <c r="P28" s="111"/>
      <c r="Q28" s="111"/>
      <c r="R28" s="111"/>
      <c r="S28" s="111"/>
      <c r="T28" s="111"/>
      <c r="U28" s="111"/>
      <c r="V28" s="111"/>
      <c r="W28" s="111"/>
      <c r="X28" s="111"/>
    </row>
    <row r="29" spans="1:24" x14ac:dyDescent="0.2">
      <c r="A29" s="114" t="s">
        <v>359</v>
      </c>
      <c r="B29" s="39">
        <f t="shared" si="0"/>
        <v>6021.2460662364228</v>
      </c>
      <c r="C29" s="39">
        <f t="shared" si="0"/>
        <v>6115.0428343739413</v>
      </c>
      <c r="D29" s="39">
        <f t="shared" si="0"/>
        <v>6068.1444503051816</v>
      </c>
      <c r="E29" s="140" t="s">
        <v>135</v>
      </c>
      <c r="F29" s="18">
        <f>F23</f>
        <v>2.367860621222877</v>
      </c>
      <c r="G29" s="140" t="s">
        <v>134</v>
      </c>
    </row>
    <row r="30" spans="1:24" x14ac:dyDescent="0.2">
      <c r="F30" s="12" t="s">
        <v>279</v>
      </c>
    </row>
    <row r="31" spans="1:24" x14ac:dyDescent="0.2">
      <c r="A31" s="1"/>
      <c r="B31" s="9" t="s">
        <v>138</v>
      </c>
      <c r="C31" s="1" t="s">
        <v>71</v>
      </c>
      <c r="D31" s="9" t="s">
        <v>139</v>
      </c>
      <c r="E31" s="1" t="s">
        <v>71</v>
      </c>
      <c r="F31" s="5" t="s">
        <v>280</v>
      </c>
      <c r="G31" s="1" t="s">
        <v>71</v>
      </c>
    </row>
    <row r="32" spans="1:24" x14ac:dyDescent="0.2">
      <c r="A32" s="35" t="s">
        <v>137</v>
      </c>
      <c r="B32" s="18">
        <f>('10. Vmf-Sand'!D52+'11. Vmf-Anthracite'!D52)/2</f>
        <v>13.436954048226315</v>
      </c>
      <c r="C32" s="140" t="s">
        <v>114</v>
      </c>
      <c r="D32" s="39">
        <f>'10. Vmf-Sand'!C52</f>
        <v>5</v>
      </c>
      <c r="E32" s="140" t="s">
        <v>344</v>
      </c>
      <c r="F32" s="18">
        <f>'7. Fluidization Time'!B11</f>
        <v>7.4421628325208156</v>
      </c>
      <c r="G32" s="140" t="s">
        <v>134</v>
      </c>
    </row>
    <row r="33" spans="1:27" x14ac:dyDescent="0.2">
      <c r="A33" s="35" t="s">
        <v>137</v>
      </c>
      <c r="B33" s="18">
        <f>('10. Vmf-Sand'!D53+'11. Vmf-Anthracite'!D53)/2</f>
        <v>15.176883781921219</v>
      </c>
      <c r="C33" s="140" t="s">
        <v>114</v>
      </c>
      <c r="D33" s="39">
        <f>'10. Vmf-Sand'!C53</f>
        <v>10</v>
      </c>
      <c r="E33" s="140" t="s">
        <v>344</v>
      </c>
      <c r="F33" s="18">
        <f>'7. Fluidization Time'!B12</f>
        <v>6.5889678959735134</v>
      </c>
      <c r="G33" s="140" t="s">
        <v>134</v>
      </c>
    </row>
    <row r="34" spans="1:27" x14ac:dyDescent="0.2">
      <c r="A34" s="35" t="s">
        <v>137</v>
      </c>
      <c r="B34" s="18">
        <f>('10. Vmf-Sand'!D54+'11. Vmf-Anthracite'!D54)/2</f>
        <v>16.876067365429627</v>
      </c>
      <c r="C34" s="140" t="s">
        <v>114</v>
      </c>
      <c r="D34" s="39">
        <f>'10. Vmf-Sand'!C54</f>
        <v>15</v>
      </c>
      <c r="E34" s="140" t="s">
        <v>344</v>
      </c>
      <c r="F34" s="18">
        <f>'7. Fluidization Time'!B13</f>
        <v>5.9255511272044643</v>
      </c>
      <c r="G34" s="140" t="s">
        <v>134</v>
      </c>
    </row>
    <row r="35" spans="1:27" x14ac:dyDescent="0.2">
      <c r="A35" s="35" t="s">
        <v>137</v>
      </c>
      <c r="B35" s="18">
        <f>('10. Vmf-Sand'!D55+'11. Vmf-Anthracite'!D55)/2</f>
        <v>18.535987238061924</v>
      </c>
      <c r="C35" s="140" t="s">
        <v>114</v>
      </c>
      <c r="D35" s="39">
        <f>'10. Vmf-Sand'!C55</f>
        <v>20</v>
      </c>
      <c r="E35" s="140" t="s">
        <v>344</v>
      </c>
      <c r="F35" s="18">
        <f>'7. Fluidization Time'!B14</f>
        <v>5.3949109219636986</v>
      </c>
      <c r="G35" s="140" t="s">
        <v>134</v>
      </c>
    </row>
    <row r="36" spans="1:27" ht="15" x14ac:dyDescent="0.25">
      <c r="A36" s="124" t="s">
        <v>137</v>
      </c>
      <c r="B36" s="126">
        <f>('10. Vmf-Sand'!D56+'11. Vmf-Anthracite'!D56)/2</f>
        <v>20.123948432134533</v>
      </c>
      <c r="C36" s="139" t="s">
        <v>114</v>
      </c>
      <c r="D36" s="132">
        <f>'10. Vmf-Sand'!C56</f>
        <v>25</v>
      </c>
      <c r="E36" s="222" t="s">
        <v>344</v>
      </c>
      <c r="F36" s="133">
        <f>'7. Fluidization Time'!B15</f>
        <v>4.9692037493157635</v>
      </c>
      <c r="G36" s="141" t="s">
        <v>134</v>
      </c>
      <c r="H36" s="127"/>
      <c r="I36" s="128" t="s">
        <v>338</v>
      </c>
      <c r="J36" s="129"/>
      <c r="K36" s="112"/>
      <c r="L36" s="111"/>
      <c r="M36" s="111"/>
      <c r="N36" s="111"/>
      <c r="O36" s="111"/>
      <c r="P36" s="111"/>
      <c r="Q36" s="111"/>
      <c r="R36" s="111"/>
      <c r="S36" s="111"/>
      <c r="T36" s="95"/>
      <c r="U36" s="95"/>
    </row>
    <row r="37" spans="1:27" x14ac:dyDescent="0.2">
      <c r="A37" s="35" t="s">
        <v>137</v>
      </c>
      <c r="B37" s="18">
        <f>('10. Vmf-Sand'!D57+'11. Vmf-Anthracite'!D57)/2</f>
        <v>21.614139582401052</v>
      </c>
      <c r="C37" s="140" t="s">
        <v>114</v>
      </c>
      <c r="D37" s="39">
        <f>'10. Vmf-Sand'!C57</f>
        <v>30</v>
      </c>
      <c r="E37" s="140" t="s">
        <v>344</v>
      </c>
      <c r="F37" s="18">
        <f>'7. Fluidization Time'!B16</f>
        <v>4.6266010089720764</v>
      </c>
      <c r="G37" s="140" t="s">
        <v>134</v>
      </c>
      <c r="J37" s="142" t="s">
        <v>301</v>
      </c>
      <c r="K37" s="111"/>
      <c r="L37" s="111"/>
      <c r="M37" s="111"/>
      <c r="N37" s="111"/>
      <c r="O37" s="111"/>
      <c r="P37" s="111"/>
      <c r="Q37" s="111"/>
      <c r="R37" s="111"/>
      <c r="S37" s="111"/>
      <c r="T37" s="111"/>
      <c r="U37" s="111"/>
      <c r="V37" s="111"/>
      <c r="W37" s="111"/>
      <c r="X37" s="111"/>
      <c r="Y37" s="111"/>
      <c r="Z37" s="111"/>
      <c r="AA37" s="111"/>
    </row>
    <row r="38" spans="1:27" x14ac:dyDescent="0.2">
      <c r="A38" s="34"/>
      <c r="D38" s="38"/>
      <c r="J38" s="142" t="s">
        <v>300</v>
      </c>
      <c r="K38" s="111"/>
      <c r="L38" s="111"/>
      <c r="M38" s="111"/>
      <c r="N38" s="111"/>
      <c r="O38" s="111"/>
      <c r="P38" s="111"/>
      <c r="Q38" s="111"/>
      <c r="R38" s="111"/>
      <c r="S38" s="111"/>
      <c r="T38" s="111"/>
      <c r="U38" s="111"/>
      <c r="V38" s="111"/>
      <c r="W38" s="111"/>
      <c r="X38" s="111"/>
      <c r="Y38" s="111"/>
      <c r="Z38" s="111"/>
      <c r="AA38" s="111"/>
    </row>
    <row r="39" spans="1:27" x14ac:dyDescent="0.2">
      <c r="F39" s="12" t="s">
        <v>279</v>
      </c>
    </row>
    <row r="40" spans="1:27" x14ac:dyDescent="0.2">
      <c r="A40" s="1"/>
      <c r="B40" s="9" t="s">
        <v>138</v>
      </c>
      <c r="C40" s="1" t="s">
        <v>71</v>
      </c>
      <c r="D40" s="9" t="s">
        <v>139</v>
      </c>
      <c r="E40" s="1" t="s">
        <v>71</v>
      </c>
      <c r="F40" s="5" t="s">
        <v>280</v>
      </c>
      <c r="G40" s="1" t="s">
        <v>71</v>
      </c>
    </row>
    <row r="41" spans="1:27" x14ac:dyDescent="0.2">
      <c r="A41" s="35" t="s">
        <v>137</v>
      </c>
      <c r="B41" s="39">
        <f>('10. Vmf-Sand'!D52+'11. Vmf-Anthracite'!D52)/2*C$14</f>
        <v>5267.2859869047161</v>
      </c>
      <c r="C41" s="140" t="s">
        <v>29</v>
      </c>
      <c r="D41" s="39">
        <v>5</v>
      </c>
      <c r="E41" s="140" t="s">
        <v>344</v>
      </c>
      <c r="F41" s="18">
        <f>F32</f>
        <v>7.4421628325208156</v>
      </c>
      <c r="G41" s="140" t="s">
        <v>134</v>
      </c>
    </row>
    <row r="42" spans="1:27" x14ac:dyDescent="0.2">
      <c r="A42" s="35" t="s">
        <v>137</v>
      </c>
      <c r="B42" s="39">
        <f>('10. Vmf-Sand'!D53+'11. Vmf-Anthracite'!D53)/2*C$14</f>
        <v>5949.338442513118</v>
      </c>
      <c r="C42" s="140" t="s">
        <v>29</v>
      </c>
      <c r="D42" s="39">
        <v>10</v>
      </c>
      <c r="E42" s="140" t="s">
        <v>344</v>
      </c>
      <c r="F42" s="18">
        <f t="shared" ref="F42:F46" si="1">F33</f>
        <v>6.5889678959735134</v>
      </c>
      <c r="G42" s="140" t="s">
        <v>134</v>
      </c>
    </row>
    <row r="43" spans="1:27" x14ac:dyDescent="0.2">
      <c r="A43" s="35" t="s">
        <v>137</v>
      </c>
      <c r="B43" s="39">
        <f>('10. Vmf-Sand'!D54+'11. Vmf-Anthracite'!D54)/2*C$14</f>
        <v>6615.418407248414</v>
      </c>
      <c r="C43" s="140" t="s">
        <v>29</v>
      </c>
      <c r="D43" s="39">
        <v>15</v>
      </c>
      <c r="E43" s="140" t="s">
        <v>344</v>
      </c>
      <c r="F43" s="18">
        <f t="shared" si="1"/>
        <v>5.9255511272044643</v>
      </c>
      <c r="G43" s="140" t="s">
        <v>134</v>
      </c>
    </row>
    <row r="44" spans="1:27" x14ac:dyDescent="0.2">
      <c r="A44" s="35" t="s">
        <v>137</v>
      </c>
      <c r="B44" s="39">
        <f>('10. Vmf-Sand'!D55+'11. Vmf-Anthracite'!D55)/2*C$14</f>
        <v>7266.1069973202748</v>
      </c>
      <c r="C44" s="140" t="s">
        <v>29</v>
      </c>
      <c r="D44" s="39">
        <v>20</v>
      </c>
      <c r="E44" s="140" t="s">
        <v>344</v>
      </c>
      <c r="F44" s="18">
        <f t="shared" si="1"/>
        <v>5.3949109219636986</v>
      </c>
      <c r="G44" s="140" t="s">
        <v>134</v>
      </c>
    </row>
    <row r="45" spans="1:27" ht="15" x14ac:dyDescent="0.25">
      <c r="A45" s="124" t="s">
        <v>137</v>
      </c>
      <c r="B45" s="131">
        <f>('10. Vmf-Sand'!D56+'11. Vmf-Anthracite'!D56)/2*C$14</f>
        <v>7888.5877853967368</v>
      </c>
      <c r="C45" s="139" t="s">
        <v>29</v>
      </c>
      <c r="D45" s="132">
        <v>25</v>
      </c>
      <c r="E45" s="222" t="s">
        <v>344</v>
      </c>
      <c r="F45" s="133">
        <f t="shared" si="1"/>
        <v>4.9692037493157635</v>
      </c>
      <c r="G45" s="141" t="s">
        <v>134</v>
      </c>
      <c r="H45" s="127"/>
      <c r="I45" s="128" t="s">
        <v>339</v>
      </c>
      <c r="J45" s="129"/>
      <c r="K45" s="112"/>
      <c r="L45" s="111"/>
      <c r="M45" s="111"/>
      <c r="N45" s="111"/>
      <c r="O45" s="111"/>
      <c r="P45" s="111"/>
      <c r="Q45" s="111"/>
      <c r="R45" s="111"/>
      <c r="S45" s="111"/>
      <c r="T45" s="111"/>
    </row>
    <row r="46" spans="1:27" x14ac:dyDescent="0.2">
      <c r="A46" s="35" t="s">
        <v>137</v>
      </c>
      <c r="B46" s="39">
        <f>('10. Vmf-Sand'!D57+'11. Vmf-Anthracite'!D57)/2*C$14</f>
        <v>8472.7427163012126</v>
      </c>
      <c r="C46" s="140" t="s">
        <v>29</v>
      </c>
      <c r="D46" s="39">
        <v>30</v>
      </c>
      <c r="E46" s="140" t="s">
        <v>344</v>
      </c>
      <c r="F46" s="18">
        <f t="shared" si="1"/>
        <v>4.6266010089720764</v>
      </c>
      <c r="G46" s="140" t="s">
        <v>134</v>
      </c>
      <c r="J46" s="142" t="s">
        <v>301</v>
      </c>
      <c r="K46" s="111"/>
      <c r="L46" s="111"/>
      <c r="M46" s="111"/>
      <c r="N46" s="111"/>
      <c r="O46" s="111"/>
      <c r="P46" s="111"/>
      <c r="Q46" s="111"/>
      <c r="R46" s="111"/>
      <c r="S46" s="111"/>
      <c r="T46" s="111"/>
      <c r="U46" s="111"/>
      <c r="V46" s="111"/>
      <c r="W46" s="111"/>
      <c r="X46" s="111"/>
      <c r="Y46" s="111"/>
      <c r="Z46" s="111"/>
      <c r="AA46" s="111"/>
    </row>
    <row r="47" spans="1:27" x14ac:dyDescent="0.2">
      <c r="J47" s="142" t="s">
        <v>300</v>
      </c>
      <c r="K47" s="111"/>
      <c r="L47" s="111"/>
      <c r="M47" s="111"/>
      <c r="N47" s="111"/>
      <c r="O47" s="111"/>
      <c r="P47" s="111"/>
      <c r="Q47" s="111"/>
      <c r="R47" s="111"/>
      <c r="S47" s="111"/>
      <c r="T47" s="111"/>
      <c r="U47" s="111"/>
      <c r="V47" s="111"/>
      <c r="W47" s="111"/>
      <c r="X47" s="111"/>
      <c r="Y47" s="111"/>
      <c r="Z47" s="111"/>
      <c r="AA47" s="111"/>
    </row>
  </sheetData>
  <phoneticPr fontId="0" type="noConversion"/>
  <pageMargins left="0.75" right="0.75" top="1" bottom="1" header="0.5" footer="0.5"/>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L36"/>
  <sheetViews>
    <sheetView workbookViewId="0">
      <selection activeCell="C25" sqref="C25"/>
    </sheetView>
  </sheetViews>
  <sheetFormatPr defaultColWidth="8.85546875" defaultRowHeight="12.75" x14ac:dyDescent="0.2"/>
  <cols>
    <col min="2" max="2" width="47.5703125" bestFit="1" customWidth="1"/>
    <col min="3" max="3" width="14.140625" customWidth="1"/>
    <col min="7" max="7" width="14.42578125" bestFit="1" customWidth="1"/>
    <col min="8" max="8" width="3.140625" customWidth="1"/>
    <col min="10" max="10" width="3.5703125" customWidth="1"/>
    <col min="11" max="11" width="10.140625" customWidth="1"/>
    <col min="12" max="12" width="3.42578125" customWidth="1"/>
  </cols>
  <sheetData>
    <row r="1" spans="1:12" x14ac:dyDescent="0.2">
      <c r="A1" s="204" t="s">
        <v>158</v>
      </c>
      <c r="B1" s="203" t="s">
        <v>159</v>
      </c>
      <c r="C1" s="203" t="s">
        <v>281</v>
      </c>
      <c r="D1" s="203" t="s">
        <v>71</v>
      </c>
      <c r="E1" s="203" t="s">
        <v>160</v>
      </c>
      <c r="F1" s="203" t="s">
        <v>71</v>
      </c>
    </row>
    <row r="2" spans="1:12" x14ac:dyDescent="0.2">
      <c r="A2" s="204"/>
      <c r="B2" s="203"/>
      <c r="C2" s="203"/>
      <c r="D2" s="203"/>
      <c r="E2" s="203"/>
      <c r="F2" s="203"/>
    </row>
    <row r="3" spans="1:12" x14ac:dyDescent="0.2">
      <c r="A3" s="9"/>
      <c r="B3" s="27" t="s">
        <v>222</v>
      </c>
      <c r="C3" s="9"/>
      <c r="D3" s="9"/>
      <c r="E3" s="9"/>
      <c r="F3" s="9"/>
    </row>
    <row r="4" spans="1:12" x14ac:dyDescent="0.2">
      <c r="A4" s="9"/>
      <c r="B4" s="27" t="s">
        <v>223</v>
      </c>
      <c r="C4" s="9"/>
      <c r="D4" s="9"/>
      <c r="E4" s="9"/>
      <c r="F4" s="9"/>
    </row>
    <row r="5" spans="1:12" x14ac:dyDescent="0.2">
      <c r="A5" s="9"/>
      <c r="B5" s="27" t="s">
        <v>224</v>
      </c>
      <c r="C5" s="9"/>
      <c r="D5" s="9"/>
      <c r="E5" s="9"/>
      <c r="F5" s="9"/>
    </row>
    <row r="6" spans="1:12" x14ac:dyDescent="0.2">
      <c r="A6" s="9"/>
      <c r="B6" s="27" t="s">
        <v>52</v>
      </c>
      <c r="C6" s="9"/>
      <c r="D6" s="9"/>
      <c r="E6" s="9"/>
      <c r="F6" s="9"/>
    </row>
    <row r="7" spans="1:12" x14ac:dyDescent="0.2">
      <c r="A7" s="9"/>
      <c r="B7" s="27" t="s">
        <v>161</v>
      </c>
      <c r="C7" s="9"/>
      <c r="D7" s="9"/>
      <c r="E7" s="9"/>
      <c r="F7" s="9"/>
    </row>
    <row r="8" spans="1:12" x14ac:dyDescent="0.2">
      <c r="A8" s="28">
        <v>0</v>
      </c>
      <c r="B8" s="27" t="s">
        <v>162</v>
      </c>
      <c r="C8" s="9">
        <f>'12. Air Scour Example'!K36*'4. MAIN (START)+Summary'!C14</f>
        <v>784</v>
      </c>
      <c r="D8" s="45" t="s">
        <v>285</v>
      </c>
      <c r="E8" s="9"/>
      <c r="F8" s="9"/>
    </row>
    <row r="9" spans="1:12" x14ac:dyDescent="0.2">
      <c r="A9" s="28">
        <v>0</v>
      </c>
      <c r="B9" s="27" t="s">
        <v>163</v>
      </c>
      <c r="C9" s="9"/>
      <c r="D9" s="9"/>
      <c r="E9" s="9"/>
      <c r="F9" s="9"/>
    </row>
    <row r="10" spans="1:12" x14ac:dyDescent="0.2">
      <c r="A10" s="28">
        <v>0</v>
      </c>
      <c r="B10" s="27" t="s">
        <v>164</v>
      </c>
      <c r="C10" s="9"/>
      <c r="D10" s="9"/>
      <c r="E10" s="9"/>
      <c r="F10" s="9"/>
    </row>
    <row r="11" spans="1:12" x14ac:dyDescent="0.2">
      <c r="A11" s="28">
        <v>0</v>
      </c>
      <c r="B11" s="118" t="s">
        <v>286</v>
      </c>
      <c r="C11" s="16">
        <f>'12. Air Scour Example'!F37*'4. MAIN (START)+Summary'!C14</f>
        <v>1664.0321685924857</v>
      </c>
      <c r="D11" s="45" t="s">
        <v>29</v>
      </c>
      <c r="E11" s="9"/>
      <c r="F11" s="9"/>
      <c r="G11" s="12" t="s">
        <v>313</v>
      </c>
      <c r="I11" s="41" t="s">
        <v>315</v>
      </c>
      <c r="K11" s="41" t="s">
        <v>316</v>
      </c>
    </row>
    <row r="12" spans="1:12" ht="15" x14ac:dyDescent="0.25">
      <c r="A12" s="134">
        <v>6.9444444444444447E-4</v>
      </c>
      <c r="B12" s="187" t="s">
        <v>227</v>
      </c>
      <c r="C12" s="188">
        <f>C11</f>
        <v>1664.0321685924857</v>
      </c>
      <c r="D12" s="189" t="s">
        <v>29</v>
      </c>
      <c r="E12" s="189">
        <v>3</v>
      </c>
      <c r="F12" s="189" t="s">
        <v>134</v>
      </c>
      <c r="G12" s="169">
        <f>E12*'13. Conversion-gpm to gpm-sf'!H37</f>
        <v>1.7024778897103705</v>
      </c>
      <c r="H12" s="41" t="s">
        <v>314</v>
      </c>
      <c r="I12" s="169">
        <f>'4. MAIN (START)+Summary'!C13</f>
        <v>3</v>
      </c>
      <c r="J12" s="41" t="s">
        <v>314</v>
      </c>
      <c r="K12" s="169">
        <f>I12-G12</f>
        <v>1.2975221102896295</v>
      </c>
      <c r="L12" s="41" t="s">
        <v>314</v>
      </c>
    </row>
    <row r="13" spans="1:12" x14ac:dyDescent="0.2">
      <c r="A13" s="28">
        <v>0.125</v>
      </c>
      <c r="B13" s="27" t="s">
        <v>53</v>
      </c>
      <c r="C13" s="9"/>
      <c r="D13" s="9"/>
      <c r="E13" s="9"/>
      <c r="F13" s="9"/>
    </row>
    <row r="14" spans="1:12" x14ac:dyDescent="0.2">
      <c r="A14" s="28"/>
      <c r="B14" s="27" t="s">
        <v>228</v>
      </c>
      <c r="C14" s="9"/>
      <c r="D14" s="9"/>
      <c r="E14" s="9">
        <v>1</v>
      </c>
      <c r="F14" s="45" t="s">
        <v>134</v>
      </c>
    </row>
    <row r="15" spans="1:12" x14ac:dyDescent="0.2">
      <c r="A15" s="28">
        <v>0.16666666666666666</v>
      </c>
      <c r="B15" s="118" t="s">
        <v>288</v>
      </c>
      <c r="C15" s="16">
        <f>('11. Vmf-Anthracite'!E34+'10. Vmf-Sand'!E34)/2*'4. MAIN (START)+Summary'!C14</f>
        <v>4051.7584514651662</v>
      </c>
      <c r="D15" s="45" t="s">
        <v>29</v>
      </c>
      <c r="E15" s="9"/>
      <c r="F15" s="9"/>
    </row>
    <row r="16" spans="1:12" x14ac:dyDescent="0.2">
      <c r="A16" s="28">
        <v>0.1875</v>
      </c>
      <c r="B16" s="27" t="s">
        <v>178</v>
      </c>
      <c r="C16" s="9"/>
      <c r="D16" s="9"/>
      <c r="E16" s="9">
        <v>0.5</v>
      </c>
      <c r="F16" s="45" t="s">
        <v>134</v>
      </c>
    </row>
    <row r="17" spans="1:6" ht="14.25" x14ac:dyDescent="0.2">
      <c r="A17" s="134">
        <v>0.18819444444444444</v>
      </c>
      <c r="B17" s="135" t="s">
        <v>226</v>
      </c>
      <c r="C17" s="136">
        <f>C15</f>
        <v>4051.7584514651662</v>
      </c>
      <c r="D17" s="137" t="s">
        <v>29</v>
      </c>
      <c r="E17" s="137">
        <v>0.5</v>
      </c>
      <c r="F17" s="137" t="s">
        <v>134</v>
      </c>
    </row>
    <row r="18" spans="1:6" x14ac:dyDescent="0.2">
      <c r="A18" s="28">
        <v>0.20833333333333334</v>
      </c>
      <c r="B18" s="118" t="s">
        <v>288</v>
      </c>
      <c r="C18" s="16">
        <f>'4. MAIN (START)+Summary'!B45</f>
        <v>7888.5877853967368</v>
      </c>
      <c r="D18" s="45" t="s">
        <v>29</v>
      </c>
      <c r="E18" s="9"/>
      <c r="F18" s="9"/>
    </row>
    <row r="19" spans="1:6" x14ac:dyDescent="0.2">
      <c r="A19" s="28">
        <v>0.22916666666666666</v>
      </c>
      <c r="B19" s="27" t="s">
        <v>178</v>
      </c>
      <c r="C19" s="9"/>
      <c r="D19" s="9"/>
      <c r="E19" s="9">
        <v>0.5</v>
      </c>
      <c r="F19" s="45" t="s">
        <v>134</v>
      </c>
    </row>
    <row r="20" spans="1:6" x14ac:dyDescent="0.2">
      <c r="A20" s="28">
        <v>0.25</v>
      </c>
      <c r="B20" s="27" t="s">
        <v>179</v>
      </c>
      <c r="C20" s="9"/>
      <c r="D20" s="9"/>
      <c r="E20" s="9">
        <v>0.5</v>
      </c>
      <c r="F20" s="45" t="s">
        <v>134</v>
      </c>
    </row>
    <row r="21" spans="1:6" ht="15" x14ac:dyDescent="0.25">
      <c r="A21" s="138"/>
      <c r="B21" s="187" t="s">
        <v>287</v>
      </c>
      <c r="C21" s="188">
        <f>C18</f>
        <v>7888.5877853967368</v>
      </c>
      <c r="D21" s="189" t="s">
        <v>29</v>
      </c>
      <c r="E21" s="188">
        <f>'4. MAIN (START)+Summary'!F45</f>
        <v>4.9692037493157635</v>
      </c>
      <c r="F21" s="189" t="s">
        <v>134</v>
      </c>
    </row>
    <row r="22" spans="1:6" x14ac:dyDescent="0.2">
      <c r="A22" s="28">
        <v>0.45833333333333331</v>
      </c>
      <c r="B22" s="118" t="s">
        <v>288</v>
      </c>
      <c r="C22" s="16">
        <f>'4. MAIN (START)+Summary'!D26</f>
        <v>1119.036606167198</v>
      </c>
      <c r="D22" s="45" t="s">
        <v>29</v>
      </c>
      <c r="E22" s="9"/>
      <c r="F22" s="9"/>
    </row>
    <row r="23" spans="1:6" x14ac:dyDescent="0.2">
      <c r="A23" s="28">
        <v>0.47916666666666669</v>
      </c>
      <c r="B23" s="27" t="s">
        <v>178</v>
      </c>
      <c r="C23" s="9"/>
      <c r="D23" s="9"/>
      <c r="E23" s="9">
        <v>0.5</v>
      </c>
      <c r="F23" s="45" t="s">
        <v>134</v>
      </c>
    </row>
    <row r="24" spans="1:6" x14ac:dyDescent="0.2">
      <c r="A24" s="28">
        <v>0.5</v>
      </c>
      <c r="B24" s="27" t="s">
        <v>225</v>
      </c>
      <c r="C24" s="9"/>
      <c r="D24" s="9"/>
      <c r="E24" s="9">
        <v>0.5</v>
      </c>
      <c r="F24" s="45" t="s">
        <v>134</v>
      </c>
    </row>
    <row r="25" spans="1:6" ht="15" x14ac:dyDescent="0.25">
      <c r="A25" s="134"/>
      <c r="B25" s="187" t="s">
        <v>289</v>
      </c>
      <c r="C25" s="188">
        <f>C22</f>
        <v>1119.036606167198</v>
      </c>
      <c r="D25" s="189" t="s">
        <v>29</v>
      </c>
      <c r="E25" s="188">
        <f>'4. MAIN (START)+Summary'!F26</f>
        <v>12.840080662761579</v>
      </c>
      <c r="F25" s="189" t="s">
        <v>134</v>
      </c>
    </row>
    <row r="26" spans="1:6" x14ac:dyDescent="0.2">
      <c r="A26" s="117" t="s">
        <v>292</v>
      </c>
      <c r="B26" s="27" t="s">
        <v>230</v>
      </c>
      <c r="C26" s="9"/>
      <c r="D26" s="9"/>
      <c r="E26" s="9"/>
      <c r="F26" s="9"/>
    </row>
    <row r="27" spans="1:6" x14ac:dyDescent="0.2">
      <c r="A27" s="28"/>
      <c r="B27" s="27" t="s">
        <v>229</v>
      </c>
      <c r="C27" s="9"/>
      <c r="D27" s="9"/>
      <c r="E27" s="9"/>
      <c r="F27" s="9"/>
    </row>
    <row r="28" spans="1:6" x14ac:dyDescent="0.2">
      <c r="A28" s="9"/>
      <c r="B28" s="9" t="s">
        <v>231</v>
      </c>
      <c r="C28" s="9"/>
      <c r="D28" s="9"/>
      <c r="E28" s="9"/>
      <c r="F28" s="9"/>
    </row>
    <row r="30" spans="1:6" x14ac:dyDescent="0.2">
      <c r="A30" s="12" t="s">
        <v>57</v>
      </c>
    </row>
    <row r="31" spans="1:6" x14ac:dyDescent="0.2">
      <c r="A31" s="43" t="s">
        <v>54</v>
      </c>
      <c r="B31" s="40"/>
      <c r="C31" s="40"/>
      <c r="D31" s="40"/>
      <c r="E31" s="40"/>
    </row>
    <row r="32" spans="1:6" x14ac:dyDescent="0.2">
      <c r="A32" s="43" t="s">
        <v>55</v>
      </c>
      <c r="B32" s="40"/>
      <c r="C32" s="40"/>
      <c r="D32" s="40"/>
      <c r="E32" s="40"/>
    </row>
    <row r="33" spans="1:5" x14ac:dyDescent="0.2">
      <c r="A33" s="43" t="s">
        <v>56</v>
      </c>
      <c r="B33" s="40"/>
      <c r="C33" s="40"/>
      <c r="D33" s="40"/>
      <c r="E33" s="40"/>
    </row>
    <row r="34" spans="1:5" x14ac:dyDescent="0.2">
      <c r="A34" s="40" t="s">
        <v>175</v>
      </c>
      <c r="B34" s="40"/>
      <c r="C34" s="40"/>
      <c r="D34" s="40"/>
      <c r="E34" s="40"/>
    </row>
    <row r="35" spans="1:5" x14ac:dyDescent="0.2">
      <c r="A35" s="43" t="s">
        <v>180</v>
      </c>
      <c r="B35" s="40"/>
      <c r="C35" s="40"/>
      <c r="D35" s="40"/>
      <c r="E35" s="40"/>
    </row>
    <row r="36" spans="1:5" x14ac:dyDescent="0.2">
      <c r="A36" s="43" t="s">
        <v>181</v>
      </c>
      <c r="B36" s="40"/>
      <c r="C36" s="40"/>
      <c r="D36" s="40"/>
      <c r="E36" s="40"/>
    </row>
  </sheetData>
  <mergeCells count="6">
    <mergeCell ref="F1:F2"/>
    <mergeCell ref="A1:A2"/>
    <mergeCell ref="B1:B2"/>
    <mergeCell ref="C1:C2"/>
    <mergeCell ref="D1:D2"/>
    <mergeCell ref="E1:E2"/>
  </mergeCells>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K10"/>
  <sheetViews>
    <sheetView workbookViewId="0">
      <selection activeCell="F10" sqref="F10"/>
    </sheetView>
  </sheetViews>
  <sheetFormatPr defaultColWidth="8.85546875" defaultRowHeight="12.75" x14ac:dyDescent="0.2"/>
  <cols>
    <col min="1" max="1" width="16.140625" customWidth="1"/>
    <col min="2" max="2" width="5.85546875" customWidth="1"/>
    <col min="3" max="3" width="8.140625" customWidth="1"/>
    <col min="4" max="4" width="10.42578125" customWidth="1"/>
    <col min="5" max="5" width="8.28515625" customWidth="1"/>
    <col min="6" max="6" width="7.28515625" customWidth="1"/>
    <col min="7" max="7" width="5.28515625" customWidth="1"/>
    <col min="8" max="8" width="5.42578125" customWidth="1"/>
    <col min="9" max="9" width="4.85546875" customWidth="1"/>
    <col min="10" max="10" width="5.28515625" customWidth="1"/>
    <col min="11" max="11" width="5.85546875" customWidth="1"/>
  </cols>
  <sheetData>
    <row r="1" spans="1:11" x14ac:dyDescent="0.2">
      <c r="A1" s="1"/>
      <c r="B1" s="1"/>
      <c r="C1" s="1"/>
      <c r="D1" s="1"/>
      <c r="E1" s="1"/>
      <c r="F1" s="205" t="s">
        <v>219</v>
      </c>
      <c r="G1" s="206"/>
      <c r="H1" s="206"/>
      <c r="I1" s="206"/>
      <c r="J1" s="206"/>
      <c r="K1" s="207"/>
    </row>
    <row r="2" spans="1:11" ht="38.25" x14ac:dyDescent="0.2">
      <c r="A2" s="7" t="s">
        <v>116</v>
      </c>
      <c r="B2" s="8" t="s">
        <v>3</v>
      </c>
      <c r="C2" s="8" t="s">
        <v>117</v>
      </c>
      <c r="D2" s="8" t="s">
        <v>4</v>
      </c>
      <c r="E2" s="8" t="s">
        <v>5</v>
      </c>
      <c r="F2" s="96">
        <f>'4. MAIN (START)+Summary'!D20</f>
        <v>2.8546852198142805</v>
      </c>
      <c r="G2" s="96">
        <f>'4. MAIN (START)+Summary'!D21</f>
        <v>4.7576848983790514</v>
      </c>
      <c r="H2" s="63">
        <v>5</v>
      </c>
      <c r="I2" s="63">
        <v>6</v>
      </c>
      <c r="J2" s="96">
        <f>'4. MAIN (START)+Summary'!D22</f>
        <v>10.336118498635628</v>
      </c>
      <c r="K2" s="96">
        <f>'4. MAIN (START)+Summary'!D23</f>
        <v>15.479960332411178</v>
      </c>
    </row>
    <row r="3" spans="1:11" x14ac:dyDescent="0.2">
      <c r="A3" s="25" t="s">
        <v>118</v>
      </c>
      <c r="B3" s="60">
        <v>1</v>
      </c>
      <c r="C3" s="9">
        <v>0.95</v>
      </c>
      <c r="D3" s="9">
        <f>B3*C3</f>
        <v>0.95</v>
      </c>
      <c r="E3" s="10">
        <f>D3*62.4/8.34</f>
        <v>7.1079136690647475</v>
      </c>
      <c r="F3" s="10">
        <f t="shared" ref="F3:K7" si="0">$E3/F$2</f>
        <v>2.4899115390127577</v>
      </c>
      <c r="G3" s="10">
        <f t="shared" si="0"/>
        <v>1.4939857979006599</v>
      </c>
      <c r="H3" s="10">
        <f t="shared" si="0"/>
        <v>1.4215827338129494</v>
      </c>
      <c r="I3" s="10">
        <f t="shared" si="0"/>
        <v>1.184652278177458</v>
      </c>
      <c r="J3" s="10">
        <f t="shared" si="0"/>
        <v>0.68767726202084423</v>
      </c>
      <c r="K3" s="10">
        <f t="shared" si="0"/>
        <v>0.45916872630368105</v>
      </c>
    </row>
    <row r="4" spans="1:11" x14ac:dyDescent="0.2">
      <c r="A4" s="25" t="s">
        <v>0</v>
      </c>
      <c r="B4" s="60">
        <v>1</v>
      </c>
      <c r="C4" s="9">
        <v>0.5</v>
      </c>
      <c r="D4" s="9">
        <f>B4*C4</f>
        <v>0.5</v>
      </c>
      <c r="E4" s="10">
        <f>D4*62.4/8.34</f>
        <v>3.7410071942446042</v>
      </c>
      <c r="F4" s="10">
        <f t="shared" si="0"/>
        <v>1.3104797573751357</v>
      </c>
      <c r="G4" s="10">
        <f t="shared" si="0"/>
        <v>0.78630831468455797</v>
      </c>
      <c r="H4" s="10">
        <f t="shared" si="0"/>
        <v>0.74820143884892087</v>
      </c>
      <c r="I4" s="10">
        <f t="shared" si="0"/>
        <v>0.6235011990407674</v>
      </c>
      <c r="J4" s="10">
        <f t="shared" si="0"/>
        <v>0.36193540106360222</v>
      </c>
      <c r="K4" s="10">
        <f t="shared" si="0"/>
        <v>0.24166775068614793</v>
      </c>
    </row>
    <row r="5" spans="1:11" x14ac:dyDescent="0.2">
      <c r="A5" s="25" t="s">
        <v>1</v>
      </c>
      <c r="B5" s="97">
        <f>'4. MAIN (START)+Summary'!C6</f>
        <v>1</v>
      </c>
      <c r="C5" s="9">
        <v>0.42</v>
      </c>
      <c r="D5" s="9">
        <f>B5*C5</f>
        <v>0.42</v>
      </c>
      <c r="E5" s="10">
        <f>D5*62.4/8.34</f>
        <v>3.1424460431654673</v>
      </c>
      <c r="F5" s="10">
        <f t="shared" si="0"/>
        <v>1.1008029961951138</v>
      </c>
      <c r="G5" s="10">
        <f t="shared" si="0"/>
        <v>0.66049898433502863</v>
      </c>
      <c r="H5" s="10">
        <f t="shared" si="0"/>
        <v>0.62848920863309343</v>
      </c>
      <c r="I5" s="10">
        <f t="shared" si="0"/>
        <v>0.52374100719424455</v>
      </c>
      <c r="J5" s="10">
        <f t="shared" si="0"/>
        <v>0.30402573689342588</v>
      </c>
      <c r="K5" s="10">
        <f t="shared" si="0"/>
        <v>0.20300091057636424</v>
      </c>
    </row>
    <row r="6" spans="1:11" x14ac:dyDescent="0.2">
      <c r="A6" s="25" t="s">
        <v>2</v>
      </c>
      <c r="B6" s="97">
        <f>'4. MAIN (START)+Summary'!C11</f>
        <v>1.5</v>
      </c>
      <c r="C6" s="9">
        <v>0.56000000000000005</v>
      </c>
      <c r="D6" s="9">
        <f>B6*C6</f>
        <v>0.84000000000000008</v>
      </c>
      <c r="E6" s="10">
        <f>D6*62.4/8.34</f>
        <v>6.2848920863309354</v>
      </c>
      <c r="F6" s="10">
        <f t="shared" si="0"/>
        <v>2.201605992390228</v>
      </c>
      <c r="G6" s="10">
        <f t="shared" si="0"/>
        <v>1.3209979686700575</v>
      </c>
      <c r="H6" s="10">
        <f t="shared" si="0"/>
        <v>1.2569784172661871</v>
      </c>
      <c r="I6" s="10">
        <f t="shared" si="0"/>
        <v>1.0474820143884893</v>
      </c>
      <c r="J6" s="10">
        <f t="shared" si="0"/>
        <v>0.60805147378685176</v>
      </c>
      <c r="K6" s="10">
        <f t="shared" si="0"/>
        <v>0.40600182115272854</v>
      </c>
    </row>
    <row r="7" spans="1:11" x14ac:dyDescent="0.2">
      <c r="A7" s="25" t="s">
        <v>70</v>
      </c>
      <c r="B7" s="97">
        <f>'4. MAIN (START)+Summary'!C13</f>
        <v>3</v>
      </c>
      <c r="C7" s="9">
        <v>1</v>
      </c>
      <c r="D7" s="9">
        <f>B7*C7</f>
        <v>3</v>
      </c>
      <c r="E7" s="10">
        <f>D7*62.4/8.34</f>
        <v>22.446043165467625</v>
      </c>
      <c r="F7" s="10">
        <f t="shared" si="0"/>
        <v>7.8628785442508144</v>
      </c>
      <c r="G7" s="10">
        <f t="shared" si="0"/>
        <v>4.7178498881073478</v>
      </c>
      <c r="H7" s="10">
        <f t="shared" si="0"/>
        <v>4.4892086330935248</v>
      </c>
      <c r="I7" s="10">
        <f t="shared" si="0"/>
        <v>3.7410071942446042</v>
      </c>
      <c r="J7" s="10">
        <f t="shared" si="0"/>
        <v>2.1716124063816133</v>
      </c>
      <c r="K7" s="10">
        <f t="shared" si="0"/>
        <v>1.4500065041168875</v>
      </c>
    </row>
    <row r="8" spans="1:11" x14ac:dyDescent="0.2">
      <c r="A8" s="11" t="s">
        <v>6</v>
      </c>
      <c r="B8" s="9">
        <f>SUM(B3:B7)</f>
        <v>7.5</v>
      </c>
      <c r="C8" s="9"/>
      <c r="D8" s="9">
        <f t="shared" ref="D8:K8" si="1">SUM(D3:D7)</f>
        <v>5.71</v>
      </c>
      <c r="E8" s="9">
        <f t="shared" si="1"/>
        <v>42.722302158273379</v>
      </c>
      <c r="F8" s="9">
        <f t="shared" si="1"/>
        <v>14.96567882922405</v>
      </c>
      <c r="G8" s="9">
        <f t="shared" si="1"/>
        <v>8.9796409536976523</v>
      </c>
      <c r="H8" s="9">
        <f t="shared" si="1"/>
        <v>8.5444604316546773</v>
      </c>
      <c r="I8" s="9">
        <f t="shared" si="1"/>
        <v>7.1203836930455635</v>
      </c>
      <c r="J8" s="9">
        <f t="shared" si="1"/>
        <v>4.1333022801463368</v>
      </c>
      <c r="K8" s="9">
        <f t="shared" si="1"/>
        <v>2.7598457128358094</v>
      </c>
    </row>
    <row r="9" spans="1:11" x14ac:dyDescent="0.2">
      <c r="A9" s="211" t="s">
        <v>153</v>
      </c>
      <c r="B9" s="212"/>
      <c r="C9" s="212"/>
      <c r="D9" s="212"/>
      <c r="E9" s="213"/>
      <c r="F9" s="18">
        <f t="shared" ref="F9:K9" si="2">SUM(F5:F7)</f>
        <v>11.165287532836157</v>
      </c>
      <c r="G9" s="18">
        <f t="shared" si="2"/>
        <v>6.6993468411124342</v>
      </c>
      <c r="H9" s="18">
        <f t="shared" si="2"/>
        <v>6.374676258992805</v>
      </c>
      <c r="I9" s="18">
        <f t="shared" si="2"/>
        <v>5.3122302158273378</v>
      </c>
      <c r="J9" s="18">
        <f t="shared" si="2"/>
        <v>3.083689617061891</v>
      </c>
      <c r="K9" s="18">
        <f t="shared" si="2"/>
        <v>2.0590092358459802</v>
      </c>
    </row>
    <row r="10" spans="1:11" x14ac:dyDescent="0.2">
      <c r="A10" s="208" t="s">
        <v>277</v>
      </c>
      <c r="B10" s="209"/>
      <c r="C10" s="209"/>
      <c r="D10" s="209"/>
      <c r="E10" s="210"/>
      <c r="F10" s="71">
        <f t="shared" ref="F10:K10" si="3">1.3*F9</f>
        <v>14.514873792687004</v>
      </c>
      <c r="G10" s="71">
        <f t="shared" si="3"/>
        <v>8.7091508934461643</v>
      </c>
      <c r="H10" s="71">
        <f t="shared" si="3"/>
        <v>8.2870791366906467</v>
      </c>
      <c r="I10" s="71">
        <f t="shared" si="3"/>
        <v>6.9058992805755395</v>
      </c>
      <c r="J10" s="71">
        <f t="shared" si="3"/>
        <v>4.0087965021804584</v>
      </c>
      <c r="K10" s="71">
        <f t="shared" si="3"/>
        <v>2.6767120065997743</v>
      </c>
    </row>
  </sheetData>
  <mergeCells count="3">
    <mergeCell ref="F1:K1"/>
    <mergeCell ref="A10:E10"/>
    <mergeCell ref="A9:E9"/>
  </mergeCells>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F27"/>
  <sheetViews>
    <sheetView workbookViewId="0">
      <selection activeCell="B15" sqref="B15"/>
    </sheetView>
  </sheetViews>
  <sheetFormatPr defaultColWidth="8.85546875" defaultRowHeight="12.75" x14ac:dyDescent="0.2"/>
  <cols>
    <col min="1" max="1" width="14.85546875" customWidth="1"/>
    <col min="2" max="2" width="7.140625" customWidth="1"/>
    <col min="3" max="3" width="9.42578125" customWidth="1"/>
    <col min="4" max="4" width="11.42578125" customWidth="1"/>
    <col min="5" max="5" width="9.85546875" customWidth="1"/>
    <col min="7" max="7" width="5.28515625" customWidth="1"/>
    <col min="8" max="8" width="5.42578125" customWidth="1"/>
    <col min="9" max="9" width="4.85546875" customWidth="1"/>
    <col min="10" max="10" width="5.28515625" customWidth="1"/>
    <col min="11" max="11" width="5.85546875" customWidth="1"/>
  </cols>
  <sheetData>
    <row r="1" spans="1:6" x14ac:dyDescent="0.2">
      <c r="A1" s="26" t="s">
        <v>246</v>
      </c>
    </row>
    <row r="2" spans="1:6" ht="6.6" customHeight="1" x14ac:dyDescent="0.2"/>
    <row r="3" spans="1:6" x14ac:dyDescent="0.2">
      <c r="A3" t="s">
        <v>58</v>
      </c>
    </row>
    <row r="4" spans="1:6" ht="7.5" customHeight="1" x14ac:dyDescent="0.2"/>
    <row r="5" spans="1:6" ht="27.6" customHeight="1" x14ac:dyDescent="0.2">
      <c r="A5" s="29" t="s">
        <v>61</v>
      </c>
      <c r="B5" s="119">
        <v>100</v>
      </c>
      <c r="C5" s="15">
        <v>125</v>
      </c>
      <c r="D5" s="15">
        <v>150</v>
      </c>
      <c r="E5" s="15">
        <v>175</v>
      </c>
      <c r="F5" s="15">
        <v>200</v>
      </c>
    </row>
    <row r="6" spans="1:6" ht="25.5" x14ac:dyDescent="0.2">
      <c r="A6" s="30" t="s">
        <v>59</v>
      </c>
      <c r="B6" s="214" t="s">
        <v>60</v>
      </c>
      <c r="C6" s="214"/>
      <c r="D6" s="214"/>
      <c r="E6" s="214"/>
      <c r="F6" s="214"/>
    </row>
    <row r="7" spans="1:6" x14ac:dyDescent="0.2">
      <c r="A7" s="60">
        <v>10</v>
      </c>
      <c r="B7" s="23">
        <f>B$5/$A7</f>
        <v>10</v>
      </c>
      <c r="C7" s="18">
        <f>C$5/A7</f>
        <v>12.5</v>
      </c>
      <c r="D7" s="18">
        <f>D$5/A7</f>
        <v>15</v>
      </c>
      <c r="E7" s="18">
        <f>E$5/A7</f>
        <v>17.5</v>
      </c>
      <c r="F7" s="18">
        <f>F$5/A7</f>
        <v>20</v>
      </c>
    </row>
    <row r="8" spans="1:6" x14ac:dyDescent="0.2">
      <c r="A8" s="60">
        <v>11</v>
      </c>
      <c r="B8" s="23">
        <f t="shared" ref="B8:B18" si="0">B$5/A8</f>
        <v>9.0909090909090917</v>
      </c>
      <c r="C8" s="18">
        <f t="shared" ref="C8:C18" si="1">C$5/A8</f>
        <v>11.363636363636363</v>
      </c>
      <c r="D8" s="18">
        <f t="shared" ref="D8:D18" si="2">D$5/A8</f>
        <v>13.636363636363637</v>
      </c>
      <c r="E8" s="18">
        <f t="shared" ref="E8:E18" si="3">E$5/A8</f>
        <v>15.909090909090908</v>
      </c>
      <c r="F8" s="18">
        <f t="shared" ref="F8:F18" si="4">F$5/A8</f>
        <v>18.181818181818183</v>
      </c>
    </row>
    <row r="9" spans="1:6" x14ac:dyDescent="0.2">
      <c r="A9" s="60">
        <v>12</v>
      </c>
      <c r="B9" s="23">
        <f t="shared" si="0"/>
        <v>8.3333333333333339</v>
      </c>
      <c r="C9" s="18">
        <f t="shared" si="1"/>
        <v>10.416666666666666</v>
      </c>
      <c r="D9" s="18">
        <f t="shared" si="2"/>
        <v>12.5</v>
      </c>
      <c r="E9" s="18">
        <f t="shared" si="3"/>
        <v>14.583333333333334</v>
      </c>
      <c r="F9" s="18">
        <f t="shared" si="4"/>
        <v>16.666666666666668</v>
      </c>
    </row>
    <row r="10" spans="1:6" x14ac:dyDescent="0.2">
      <c r="A10" s="60">
        <v>13</v>
      </c>
      <c r="B10" s="23">
        <f t="shared" si="0"/>
        <v>7.6923076923076925</v>
      </c>
      <c r="C10" s="18">
        <f t="shared" si="1"/>
        <v>9.615384615384615</v>
      </c>
      <c r="D10" s="18">
        <f t="shared" si="2"/>
        <v>11.538461538461538</v>
      </c>
      <c r="E10" s="18">
        <f t="shared" si="3"/>
        <v>13.461538461538462</v>
      </c>
      <c r="F10" s="18">
        <f t="shared" si="4"/>
        <v>15.384615384615385</v>
      </c>
    </row>
    <row r="11" spans="1:6" x14ac:dyDescent="0.2">
      <c r="A11" s="115">
        <f>'4. MAIN (START)+Summary'!B32</f>
        <v>13.436954048226315</v>
      </c>
      <c r="B11" s="116">
        <f t="shared" si="0"/>
        <v>7.4421628325208156</v>
      </c>
      <c r="C11" s="18">
        <f t="shared" si="1"/>
        <v>9.3027035406510201</v>
      </c>
      <c r="D11" s="18">
        <f t="shared" si="2"/>
        <v>11.163244248781224</v>
      </c>
      <c r="E11" s="18">
        <f t="shared" si="3"/>
        <v>13.023784956911427</v>
      </c>
      <c r="F11" s="18">
        <f t="shared" si="4"/>
        <v>14.884325665041631</v>
      </c>
    </row>
    <row r="12" spans="1:6" x14ac:dyDescent="0.2">
      <c r="A12" s="115">
        <f>'4. MAIN (START)+Summary'!B33</f>
        <v>15.176883781921219</v>
      </c>
      <c r="B12" s="116">
        <f t="shared" si="0"/>
        <v>6.5889678959735134</v>
      </c>
      <c r="C12" s="18">
        <f t="shared" si="1"/>
        <v>8.236209869966892</v>
      </c>
      <c r="D12" s="18">
        <f t="shared" si="2"/>
        <v>9.8834518439602697</v>
      </c>
      <c r="E12" s="18">
        <f t="shared" si="3"/>
        <v>11.530693817953649</v>
      </c>
      <c r="F12" s="18">
        <f t="shared" si="4"/>
        <v>13.177935791947027</v>
      </c>
    </row>
    <row r="13" spans="1:6" x14ac:dyDescent="0.2">
      <c r="A13" s="115">
        <f>'4. MAIN (START)+Summary'!B34</f>
        <v>16.876067365429627</v>
      </c>
      <c r="B13" s="116">
        <f t="shared" si="0"/>
        <v>5.9255511272044643</v>
      </c>
      <c r="C13" s="18">
        <f t="shared" si="1"/>
        <v>7.4069389090055804</v>
      </c>
      <c r="D13" s="18">
        <f t="shared" si="2"/>
        <v>8.8883266908066965</v>
      </c>
      <c r="E13" s="18">
        <f t="shared" si="3"/>
        <v>10.369714472607813</v>
      </c>
      <c r="F13" s="18">
        <f t="shared" si="4"/>
        <v>11.851102254408929</v>
      </c>
    </row>
    <row r="14" spans="1:6" x14ac:dyDescent="0.2">
      <c r="A14" s="115">
        <f>'4. MAIN (START)+Summary'!B35</f>
        <v>18.535987238061924</v>
      </c>
      <c r="B14" s="116">
        <f t="shared" si="0"/>
        <v>5.3949109219636986</v>
      </c>
      <c r="C14" s="18">
        <f t="shared" si="1"/>
        <v>6.7436386524546226</v>
      </c>
      <c r="D14" s="18">
        <f t="shared" si="2"/>
        <v>8.0923663829455474</v>
      </c>
      <c r="E14" s="18">
        <f t="shared" si="3"/>
        <v>9.4410941134364723</v>
      </c>
      <c r="F14" s="18">
        <f t="shared" si="4"/>
        <v>10.789821843927397</v>
      </c>
    </row>
    <row r="15" spans="1:6" x14ac:dyDescent="0.2">
      <c r="A15" s="115">
        <f>'4. MAIN (START)+Summary'!B36</f>
        <v>20.123948432134533</v>
      </c>
      <c r="B15" s="116">
        <f t="shared" si="0"/>
        <v>4.9692037493157635</v>
      </c>
      <c r="C15" s="18">
        <f t="shared" si="1"/>
        <v>6.2115046866447043</v>
      </c>
      <c r="D15" s="18">
        <f t="shared" si="2"/>
        <v>7.4538056239736452</v>
      </c>
      <c r="E15" s="18">
        <f t="shared" si="3"/>
        <v>8.6961065613025852</v>
      </c>
      <c r="F15" s="18">
        <f t="shared" si="4"/>
        <v>9.9384074986315269</v>
      </c>
    </row>
    <row r="16" spans="1:6" x14ac:dyDescent="0.2">
      <c r="A16" s="115">
        <f>'4. MAIN (START)+Summary'!B37</f>
        <v>21.614139582401052</v>
      </c>
      <c r="B16" s="116">
        <f t="shared" si="0"/>
        <v>4.6266010089720764</v>
      </c>
      <c r="C16" s="18">
        <f t="shared" si="1"/>
        <v>5.7832512612150957</v>
      </c>
      <c r="D16" s="18">
        <f t="shared" si="2"/>
        <v>6.939901513458115</v>
      </c>
      <c r="E16" s="18">
        <f t="shared" si="3"/>
        <v>8.0965517657011343</v>
      </c>
      <c r="F16" s="18">
        <f t="shared" si="4"/>
        <v>9.2532020179441528</v>
      </c>
    </row>
    <row r="17" spans="1:6" x14ac:dyDescent="0.2">
      <c r="A17" s="60">
        <v>23</v>
      </c>
      <c r="B17" s="23">
        <f t="shared" si="0"/>
        <v>4.3478260869565215</v>
      </c>
      <c r="C17" s="18">
        <f t="shared" si="1"/>
        <v>5.4347826086956523</v>
      </c>
      <c r="D17" s="18">
        <f t="shared" si="2"/>
        <v>6.5217391304347823</v>
      </c>
      <c r="E17" s="18">
        <f t="shared" si="3"/>
        <v>7.6086956521739131</v>
      </c>
      <c r="F17" s="18">
        <f t="shared" si="4"/>
        <v>8.695652173913043</v>
      </c>
    </row>
    <row r="18" spans="1:6" x14ac:dyDescent="0.2">
      <c r="A18" s="60">
        <v>25</v>
      </c>
      <c r="B18" s="23">
        <f t="shared" si="0"/>
        <v>4</v>
      </c>
      <c r="C18" s="18">
        <f t="shared" si="1"/>
        <v>5</v>
      </c>
      <c r="D18" s="18">
        <f t="shared" si="2"/>
        <v>6</v>
      </c>
      <c r="E18" s="18">
        <f t="shared" si="3"/>
        <v>7</v>
      </c>
      <c r="F18" s="18">
        <f t="shared" si="4"/>
        <v>8</v>
      </c>
    </row>
    <row r="19" spans="1:6" x14ac:dyDescent="0.2">
      <c r="A19" s="40" t="s">
        <v>62</v>
      </c>
    </row>
    <row r="20" spans="1:6" x14ac:dyDescent="0.2">
      <c r="A20" s="40" t="s">
        <v>65</v>
      </c>
    </row>
    <row r="21" spans="1:6" x14ac:dyDescent="0.2">
      <c r="A21" s="40" t="s">
        <v>63</v>
      </c>
    </row>
    <row r="22" spans="1:6" x14ac:dyDescent="0.2">
      <c r="A22" s="40" t="s">
        <v>64</v>
      </c>
    </row>
    <row r="24" spans="1:6" x14ac:dyDescent="0.2">
      <c r="A24" s="40" t="s">
        <v>66</v>
      </c>
    </row>
    <row r="25" spans="1:6" x14ac:dyDescent="0.2">
      <c r="A25" s="40" t="s">
        <v>67</v>
      </c>
    </row>
    <row r="26" spans="1:6" x14ac:dyDescent="0.2">
      <c r="A26" s="40" t="s">
        <v>68</v>
      </c>
    </row>
    <row r="27" spans="1:6" x14ac:dyDescent="0.2">
      <c r="A27" s="40" t="s">
        <v>69</v>
      </c>
    </row>
  </sheetData>
  <mergeCells count="1">
    <mergeCell ref="B6:F6"/>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F39"/>
  <sheetViews>
    <sheetView workbookViewId="0">
      <selection activeCell="E34" sqref="E34"/>
    </sheetView>
  </sheetViews>
  <sheetFormatPr defaultColWidth="8.85546875" defaultRowHeight="12.75" x14ac:dyDescent="0.2"/>
  <cols>
    <col min="1" max="1" width="22" customWidth="1"/>
    <col min="3" max="3" width="10.42578125" customWidth="1"/>
    <col min="4" max="4" width="19" customWidth="1"/>
    <col min="10" max="10" width="13.28515625" customWidth="1"/>
  </cols>
  <sheetData>
    <row r="1" spans="1:6" x14ac:dyDescent="0.2">
      <c r="A1" s="25" t="s">
        <v>41</v>
      </c>
      <c r="B1" s="2" t="s">
        <v>72</v>
      </c>
      <c r="C1" s="2" t="s">
        <v>71</v>
      </c>
      <c r="D1" s="24" t="s">
        <v>73</v>
      </c>
      <c r="E1" s="19" t="s">
        <v>74</v>
      </c>
      <c r="F1" s="19" t="s">
        <v>71</v>
      </c>
    </row>
    <row r="2" spans="1:6" x14ac:dyDescent="0.2">
      <c r="A2" s="2" t="s">
        <v>39</v>
      </c>
      <c r="B2" s="33">
        <f>'4. MAIN (START)+Summary'!C3</f>
        <v>0.52</v>
      </c>
      <c r="C2" s="2" t="s">
        <v>76</v>
      </c>
      <c r="D2" s="19"/>
      <c r="E2" s="19"/>
      <c r="F2" s="19"/>
    </row>
    <row r="3" spans="1:6" x14ac:dyDescent="0.2">
      <c r="A3" s="2" t="s">
        <v>34</v>
      </c>
      <c r="B3" s="33">
        <f>'4. MAIN (START)+Summary'!C4</f>
        <v>1.53</v>
      </c>
      <c r="C3" s="2"/>
      <c r="D3" s="19"/>
      <c r="E3" s="19"/>
      <c r="F3" s="19"/>
    </row>
    <row r="4" spans="1:6" x14ac:dyDescent="0.2">
      <c r="A4" s="2"/>
      <c r="B4" s="2"/>
      <c r="C4" s="2"/>
      <c r="D4" s="24" t="s">
        <v>44</v>
      </c>
      <c r="E4" s="20">
        <f>B2</f>
        <v>0.52</v>
      </c>
      <c r="F4" s="19" t="s">
        <v>76</v>
      </c>
    </row>
    <row r="5" spans="1:6" x14ac:dyDescent="0.2">
      <c r="A5" s="2" t="s">
        <v>79</v>
      </c>
      <c r="B5" s="33">
        <f>'4. MAIN (START)+Summary'!C5</f>
        <v>2.65</v>
      </c>
      <c r="C5" s="2" t="s">
        <v>78</v>
      </c>
      <c r="D5" s="1"/>
      <c r="E5" s="1"/>
      <c r="F5" s="1"/>
    </row>
    <row r="6" spans="1:6" x14ac:dyDescent="0.2">
      <c r="A6" s="5" t="s">
        <v>35</v>
      </c>
      <c r="B6" s="2"/>
      <c r="C6" s="1"/>
      <c r="D6" s="1"/>
      <c r="E6" s="1"/>
      <c r="F6" s="1"/>
    </row>
    <row r="7" spans="1:6" x14ac:dyDescent="0.2">
      <c r="A7" s="5" t="s">
        <v>42</v>
      </c>
      <c r="B7" s="2"/>
      <c r="C7" s="1"/>
      <c r="D7" s="1"/>
      <c r="E7" s="1"/>
      <c r="F7" s="1"/>
    </row>
    <row r="8" spans="1:6" x14ac:dyDescent="0.2">
      <c r="A8" s="1" t="s">
        <v>80</v>
      </c>
      <c r="B8" s="4">
        <v>1.7809999999999999E-2</v>
      </c>
      <c r="C8" s="1" t="s">
        <v>94</v>
      </c>
      <c r="D8" s="19" t="s">
        <v>97</v>
      </c>
      <c r="E8" s="19">
        <f t="shared" ref="E8:E14" si="0">(($E$4/10)^3*B16*($B$5-B16)*$B$24)/(B8)^2</f>
        <v>717.46532174986442</v>
      </c>
      <c r="F8" s="19" t="s">
        <v>111</v>
      </c>
    </row>
    <row r="9" spans="1:6" x14ac:dyDescent="0.2">
      <c r="A9" s="1" t="s">
        <v>81</v>
      </c>
      <c r="B9" s="4">
        <v>1.5189999999999999E-2</v>
      </c>
      <c r="C9" s="1" t="s">
        <v>94</v>
      </c>
      <c r="D9" s="19" t="s">
        <v>98</v>
      </c>
      <c r="E9" s="19">
        <f t="shared" si="0"/>
        <v>986.38721552457605</v>
      </c>
      <c r="F9" s="19" t="s">
        <v>111</v>
      </c>
    </row>
    <row r="10" spans="1:6" x14ac:dyDescent="0.2">
      <c r="A10" s="1" t="s">
        <v>82</v>
      </c>
      <c r="B10" s="4">
        <v>1.307E-2</v>
      </c>
      <c r="C10" s="1" t="s">
        <v>94</v>
      </c>
      <c r="D10" s="19" t="s">
        <v>101</v>
      </c>
      <c r="E10" s="19">
        <f t="shared" si="0"/>
        <v>1332.1724712167822</v>
      </c>
      <c r="F10" s="19" t="s">
        <v>111</v>
      </c>
    </row>
    <row r="11" spans="1:6" x14ac:dyDescent="0.2">
      <c r="A11" s="1" t="s">
        <v>83</v>
      </c>
      <c r="B11" s="4">
        <v>1.1390000000000001E-2</v>
      </c>
      <c r="C11" s="1" t="s">
        <v>94</v>
      </c>
      <c r="D11" s="19" t="s">
        <v>99</v>
      </c>
      <c r="E11" s="19">
        <f t="shared" si="0"/>
        <v>1753.724287584932</v>
      </c>
      <c r="F11" s="19" t="s">
        <v>111</v>
      </c>
    </row>
    <row r="12" spans="1:6" x14ac:dyDescent="0.2">
      <c r="A12" s="1" t="s">
        <v>84</v>
      </c>
      <c r="B12" s="4">
        <v>1.0019999999999999E-2</v>
      </c>
      <c r="C12" s="1" t="s">
        <v>94</v>
      </c>
      <c r="D12" s="19" t="s">
        <v>102</v>
      </c>
      <c r="E12" s="19">
        <f t="shared" si="0"/>
        <v>2265.2629535514657</v>
      </c>
      <c r="F12" s="19" t="s">
        <v>111</v>
      </c>
    </row>
    <row r="13" spans="1:6" x14ac:dyDescent="0.2">
      <c r="A13" s="1" t="s">
        <v>85</v>
      </c>
      <c r="B13" s="4">
        <v>8.8999999999999999E-3</v>
      </c>
      <c r="C13" s="1" t="s">
        <v>94</v>
      </c>
      <c r="D13" s="19" t="s">
        <v>100</v>
      </c>
      <c r="E13" s="19">
        <f t="shared" si="0"/>
        <v>2869.9018015196075</v>
      </c>
      <c r="F13" s="19" t="s">
        <v>111</v>
      </c>
    </row>
    <row r="14" spans="1:6" x14ac:dyDescent="0.2">
      <c r="A14" s="1" t="s">
        <v>86</v>
      </c>
      <c r="B14" s="4">
        <v>7.980000000000001E-3</v>
      </c>
      <c r="C14" s="1" t="s">
        <v>94</v>
      </c>
      <c r="D14" s="19" t="s">
        <v>103</v>
      </c>
      <c r="E14" s="19">
        <f t="shared" si="0"/>
        <v>3567.9275944076435</v>
      </c>
      <c r="F14" s="19" t="s">
        <v>111</v>
      </c>
    </row>
    <row r="15" spans="1:6" x14ac:dyDescent="0.2">
      <c r="A15" s="5" t="s">
        <v>8</v>
      </c>
      <c r="B15" s="4"/>
      <c r="C15" s="1"/>
      <c r="D15" s="19"/>
      <c r="E15" s="19"/>
      <c r="F15" s="19"/>
    </row>
    <row r="16" spans="1:6" x14ac:dyDescent="0.2">
      <c r="A16" s="1" t="s">
        <v>87</v>
      </c>
      <c r="B16" s="4">
        <v>0.99980000000000002</v>
      </c>
      <c r="C16" s="1" t="s">
        <v>78</v>
      </c>
      <c r="D16" s="19" t="s">
        <v>104</v>
      </c>
      <c r="E16" s="19">
        <f t="shared" ref="E16:E22" si="1">(B8/(B16*$E$4/10))*SQRT(33.7^2+0.0408*E8)-(33.7*B8)/(B16*$E$4/10)</f>
        <v>0.14783483850514934</v>
      </c>
      <c r="F16" s="19" t="s">
        <v>112</v>
      </c>
    </row>
    <row r="17" spans="1:6" x14ac:dyDescent="0.2">
      <c r="A17" s="1" t="s">
        <v>88</v>
      </c>
      <c r="B17" s="4">
        <v>1</v>
      </c>
      <c r="C17" s="1" t="s">
        <v>78</v>
      </c>
      <c r="D17" s="19" t="s">
        <v>105</v>
      </c>
      <c r="E17" s="19">
        <f t="shared" si="1"/>
        <v>0.17290391726605314</v>
      </c>
      <c r="F17" s="19" t="s">
        <v>112</v>
      </c>
    </row>
    <row r="18" spans="1:6" x14ac:dyDescent="0.2">
      <c r="A18" s="1" t="s">
        <v>89</v>
      </c>
      <c r="B18" s="4">
        <v>0.99970000000000003</v>
      </c>
      <c r="C18" s="1" t="s">
        <v>78</v>
      </c>
      <c r="D18" s="19" t="s">
        <v>106</v>
      </c>
      <c r="E18" s="19">
        <f t="shared" si="1"/>
        <v>0.20038164327162633</v>
      </c>
      <c r="F18" s="19" t="s">
        <v>112</v>
      </c>
    </row>
    <row r="19" spans="1:6" x14ac:dyDescent="0.2">
      <c r="A19" s="1" t="s">
        <v>90</v>
      </c>
      <c r="B19" s="4">
        <v>0.99909999999999999</v>
      </c>
      <c r="C19" s="1" t="s">
        <v>78</v>
      </c>
      <c r="D19" s="19" t="s">
        <v>107</v>
      </c>
      <c r="E19" s="19">
        <f t="shared" si="1"/>
        <v>0.22918633239360187</v>
      </c>
      <c r="F19" s="19" t="s">
        <v>112</v>
      </c>
    </row>
    <row r="20" spans="1:6" x14ac:dyDescent="0.2">
      <c r="A20" s="1" t="s">
        <v>91</v>
      </c>
      <c r="B20" s="4">
        <v>0.99819999999999998</v>
      </c>
      <c r="C20" s="1" t="s">
        <v>78</v>
      </c>
      <c r="D20" s="19" t="s">
        <v>108</v>
      </c>
      <c r="E20" s="19">
        <f t="shared" si="1"/>
        <v>0.25953027305592524</v>
      </c>
      <c r="F20" s="19" t="s">
        <v>112</v>
      </c>
    </row>
    <row r="21" spans="1:6" x14ac:dyDescent="0.2">
      <c r="A21" s="1" t="s">
        <v>92</v>
      </c>
      <c r="B21" s="4">
        <v>0.997</v>
      </c>
      <c r="C21" s="1" t="s">
        <v>78</v>
      </c>
      <c r="D21" s="19" t="s">
        <v>109</v>
      </c>
      <c r="E21" s="19">
        <f t="shared" si="1"/>
        <v>0.2909204276313897</v>
      </c>
      <c r="F21" s="19" t="s">
        <v>112</v>
      </c>
    </row>
    <row r="22" spans="1:6" x14ac:dyDescent="0.2">
      <c r="A22" s="1" t="s">
        <v>93</v>
      </c>
      <c r="B22" s="4">
        <v>0.99570000000000003</v>
      </c>
      <c r="C22" s="1" t="s">
        <v>78</v>
      </c>
      <c r="D22" s="19" t="s">
        <v>110</v>
      </c>
      <c r="E22" s="19">
        <f t="shared" si="1"/>
        <v>0.32284604709116138</v>
      </c>
      <c r="F22" s="19" t="s">
        <v>112</v>
      </c>
    </row>
    <row r="23" spans="1:6" x14ac:dyDescent="0.2">
      <c r="A23" s="1"/>
      <c r="B23" s="3"/>
      <c r="C23" s="1"/>
      <c r="D23" s="19"/>
      <c r="E23" s="19"/>
      <c r="F23" s="19"/>
    </row>
    <row r="24" spans="1:6" x14ac:dyDescent="0.2">
      <c r="A24" s="1" t="s">
        <v>95</v>
      </c>
      <c r="B24" s="4">
        <v>981</v>
      </c>
      <c r="C24" s="1" t="s">
        <v>96</v>
      </c>
      <c r="D24" s="5" t="s">
        <v>113</v>
      </c>
      <c r="E24" s="1"/>
      <c r="F24" s="1"/>
    </row>
    <row r="25" spans="1:6" x14ac:dyDescent="0.2">
      <c r="D25" s="4" t="s">
        <v>352</v>
      </c>
      <c r="E25" s="6">
        <f t="shared" ref="E25:E31" si="2">E16*60*60/100</f>
        <v>5.3220541861853761</v>
      </c>
      <c r="F25" s="1" t="s">
        <v>115</v>
      </c>
    </row>
    <row r="26" spans="1:6" x14ac:dyDescent="0.2">
      <c r="D26" s="224" t="s">
        <v>346</v>
      </c>
      <c r="E26" s="6">
        <f t="shared" si="2"/>
        <v>6.2245410215779131</v>
      </c>
      <c r="F26" s="1" t="s">
        <v>115</v>
      </c>
    </row>
    <row r="27" spans="1:6" x14ac:dyDescent="0.2">
      <c r="D27" s="4" t="s">
        <v>347</v>
      </c>
      <c r="E27" s="6">
        <f t="shared" si="2"/>
        <v>7.2137391577785479</v>
      </c>
      <c r="F27" s="1" t="s">
        <v>115</v>
      </c>
    </row>
    <row r="28" spans="1:6" x14ac:dyDescent="0.2">
      <c r="D28" s="4" t="s">
        <v>348</v>
      </c>
      <c r="E28" s="6">
        <f t="shared" si="2"/>
        <v>8.2507079661696672</v>
      </c>
      <c r="F28" s="1" t="s">
        <v>115</v>
      </c>
    </row>
    <row r="29" spans="1:6" x14ac:dyDescent="0.2">
      <c r="D29" s="4" t="s">
        <v>349</v>
      </c>
      <c r="E29" s="6">
        <f t="shared" si="2"/>
        <v>9.3430898300133087</v>
      </c>
      <c r="F29" s="1" t="s">
        <v>115</v>
      </c>
    </row>
    <row r="30" spans="1:6" x14ac:dyDescent="0.2">
      <c r="D30" s="4" t="s">
        <v>350</v>
      </c>
      <c r="E30" s="6">
        <f t="shared" si="2"/>
        <v>10.473135394730029</v>
      </c>
      <c r="F30" s="1" t="s">
        <v>115</v>
      </c>
    </row>
    <row r="31" spans="1:6" x14ac:dyDescent="0.2">
      <c r="D31" s="4" t="s">
        <v>351</v>
      </c>
      <c r="E31" s="6">
        <f t="shared" si="2"/>
        <v>11.62245769528181</v>
      </c>
      <c r="F31" s="1" t="s">
        <v>115</v>
      </c>
    </row>
    <row r="32" spans="1:6" x14ac:dyDescent="0.2">
      <c r="D32" s="1"/>
      <c r="E32" s="6"/>
      <c r="F32" s="1"/>
    </row>
    <row r="33" spans="1:6" x14ac:dyDescent="0.2">
      <c r="D33" s="4" t="s">
        <v>352</v>
      </c>
      <c r="E33" s="47">
        <f t="shared" ref="E33:E39" si="3">E16/1000/3.785*929*60</f>
        <v>2.1770974632171791</v>
      </c>
      <c r="F33" s="1" t="s">
        <v>114</v>
      </c>
    </row>
    <row r="34" spans="1:6" x14ac:dyDescent="0.2">
      <c r="A34" s="12" t="s">
        <v>46</v>
      </c>
      <c r="D34" s="223" t="s">
        <v>346</v>
      </c>
      <c r="E34" s="67">
        <f t="shared" si="3"/>
        <v>2.5462785596855486</v>
      </c>
      <c r="F34" s="64" t="s">
        <v>114</v>
      </c>
    </row>
    <row r="35" spans="1:6" x14ac:dyDescent="0.2">
      <c r="A35" s="43" t="s">
        <v>47</v>
      </c>
      <c r="D35" s="4" t="s">
        <v>347</v>
      </c>
      <c r="E35" s="47">
        <f t="shared" si="3"/>
        <v>2.9509307254849277</v>
      </c>
      <c r="F35" s="1" t="s">
        <v>114</v>
      </c>
    </row>
    <row r="36" spans="1:6" x14ac:dyDescent="0.2">
      <c r="A36" s="43" t="s">
        <v>48</v>
      </c>
      <c r="D36" s="4" t="s">
        <v>348</v>
      </c>
      <c r="E36" s="47">
        <f t="shared" si="3"/>
        <v>3.3751244828584857</v>
      </c>
      <c r="F36" s="1" t="s">
        <v>114</v>
      </c>
    </row>
    <row r="37" spans="1:6" x14ac:dyDescent="0.2">
      <c r="A37" s="43" t="s">
        <v>49</v>
      </c>
      <c r="D37" s="4" t="s">
        <v>349</v>
      </c>
      <c r="E37" s="47">
        <f t="shared" si="3"/>
        <v>3.8219861083585922</v>
      </c>
      <c r="F37" s="1" t="s">
        <v>114</v>
      </c>
    </row>
    <row r="38" spans="1:6" x14ac:dyDescent="0.2">
      <c r="A38" s="43" t="s">
        <v>50</v>
      </c>
      <c r="D38" s="4" t="s">
        <v>350</v>
      </c>
      <c r="E38" s="47">
        <f t="shared" si="3"/>
        <v>4.2842548576416544</v>
      </c>
      <c r="F38" s="1" t="s">
        <v>114</v>
      </c>
    </row>
    <row r="39" spans="1:6" x14ac:dyDescent="0.2">
      <c r="A39" s="43" t="s">
        <v>51</v>
      </c>
      <c r="D39" s="4" t="s">
        <v>351</v>
      </c>
      <c r="E39" s="47">
        <f t="shared" si="3"/>
        <v>4.754409158483841</v>
      </c>
      <c r="F39" s="1" t="s">
        <v>114</v>
      </c>
    </row>
  </sheetData>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F39"/>
  <sheetViews>
    <sheetView workbookViewId="0">
      <selection activeCell="E34" sqref="E34"/>
    </sheetView>
  </sheetViews>
  <sheetFormatPr defaultColWidth="8.85546875" defaultRowHeight="12.75" x14ac:dyDescent="0.2"/>
  <cols>
    <col min="1" max="1" width="22" customWidth="1"/>
    <col min="3" max="3" width="10.42578125" customWidth="1"/>
    <col min="4" max="4" width="19" customWidth="1"/>
    <col min="10" max="10" width="13.28515625" customWidth="1"/>
  </cols>
  <sheetData>
    <row r="1" spans="1:6" x14ac:dyDescent="0.2">
      <c r="A1" s="25" t="s">
        <v>41</v>
      </c>
      <c r="B1" s="2" t="s">
        <v>72</v>
      </c>
      <c r="C1" s="2" t="s">
        <v>71</v>
      </c>
      <c r="D1" s="24" t="s">
        <v>73</v>
      </c>
      <c r="E1" s="19" t="s">
        <v>74</v>
      </c>
      <c r="F1" s="19" t="s">
        <v>71</v>
      </c>
    </row>
    <row r="2" spans="1:6" x14ac:dyDescent="0.2">
      <c r="A2" s="2" t="s">
        <v>39</v>
      </c>
      <c r="B2" s="33">
        <f>'4. MAIN (START)+Summary'!C8</f>
        <v>1.01</v>
      </c>
      <c r="C2" s="2" t="s">
        <v>76</v>
      </c>
      <c r="D2" s="19"/>
      <c r="E2" s="19"/>
      <c r="F2" s="19"/>
    </row>
    <row r="3" spans="1:6" x14ac:dyDescent="0.2">
      <c r="A3" s="2" t="s">
        <v>34</v>
      </c>
      <c r="B3" s="33">
        <f>'4. MAIN (START)+Summary'!C9</f>
        <v>1.49</v>
      </c>
      <c r="C3" s="2"/>
      <c r="D3" s="19"/>
      <c r="E3" s="19"/>
      <c r="F3" s="19"/>
    </row>
    <row r="4" spans="1:6" x14ac:dyDescent="0.2">
      <c r="A4" s="2"/>
      <c r="B4" s="2"/>
      <c r="C4" s="2"/>
      <c r="D4" s="24" t="s">
        <v>44</v>
      </c>
      <c r="E4" s="20">
        <f>B2</f>
        <v>1.01</v>
      </c>
      <c r="F4" s="19" t="s">
        <v>76</v>
      </c>
    </row>
    <row r="5" spans="1:6" x14ac:dyDescent="0.2">
      <c r="A5" s="2" t="s">
        <v>79</v>
      </c>
      <c r="B5" s="33">
        <f>'4. MAIN (START)+Summary'!C10</f>
        <v>1.55</v>
      </c>
      <c r="C5" s="2" t="s">
        <v>78</v>
      </c>
      <c r="D5" s="1"/>
      <c r="E5" s="1"/>
      <c r="F5" s="1"/>
    </row>
    <row r="6" spans="1:6" x14ac:dyDescent="0.2">
      <c r="A6" s="5" t="s">
        <v>35</v>
      </c>
      <c r="B6" s="2"/>
      <c r="C6" s="1"/>
      <c r="D6" s="1"/>
      <c r="E6" s="1"/>
      <c r="F6" s="1"/>
    </row>
    <row r="7" spans="1:6" x14ac:dyDescent="0.2">
      <c r="A7" s="5" t="s">
        <v>42</v>
      </c>
      <c r="B7" s="2"/>
      <c r="C7" s="1"/>
      <c r="D7" s="1"/>
      <c r="E7" s="1"/>
      <c r="F7" s="1"/>
    </row>
    <row r="8" spans="1:6" x14ac:dyDescent="0.2">
      <c r="A8" s="1" t="s">
        <v>80</v>
      </c>
      <c r="B8" s="4">
        <v>1.7809999999999999E-2</v>
      </c>
      <c r="C8" s="1" t="s">
        <v>94</v>
      </c>
      <c r="D8" s="19" t="s">
        <v>97</v>
      </c>
      <c r="E8" s="19">
        <f t="shared" ref="E8:E14" si="0">(($E$4/10)^3*B16*($B$5-B16)*$B$24)/(B8)^2</f>
        <v>1752.8268140632213</v>
      </c>
      <c r="F8" s="19" t="s">
        <v>111</v>
      </c>
    </row>
    <row r="9" spans="1:6" x14ac:dyDescent="0.2">
      <c r="A9" s="1" t="s">
        <v>81</v>
      </c>
      <c r="B9" s="4">
        <v>1.5189999999999999E-2</v>
      </c>
      <c r="C9" s="1" t="s">
        <v>94</v>
      </c>
      <c r="D9" s="19" t="s">
        <v>98</v>
      </c>
      <c r="E9" s="19">
        <f t="shared" si="0"/>
        <v>2409.2411397696342</v>
      </c>
      <c r="F9" s="19" t="s">
        <v>111</v>
      </c>
    </row>
    <row r="10" spans="1:6" x14ac:dyDescent="0.2">
      <c r="A10" s="1" t="s">
        <v>82</v>
      </c>
      <c r="B10" s="4">
        <v>1.307E-2</v>
      </c>
      <c r="C10" s="1" t="s">
        <v>94</v>
      </c>
      <c r="D10" s="19" t="s">
        <v>101</v>
      </c>
      <c r="E10" s="19">
        <f t="shared" si="0"/>
        <v>3255.0012410231757</v>
      </c>
      <c r="F10" s="19" t="s">
        <v>111</v>
      </c>
    </row>
    <row r="11" spans="1:6" x14ac:dyDescent="0.2">
      <c r="A11" s="1" t="s">
        <v>83</v>
      </c>
      <c r="B11" s="4">
        <v>1.1390000000000001E-2</v>
      </c>
      <c r="C11" s="1" t="s">
        <v>94</v>
      </c>
      <c r="D11" s="19" t="s">
        <v>99</v>
      </c>
      <c r="E11" s="19">
        <f t="shared" si="0"/>
        <v>4288.1247555641767</v>
      </c>
      <c r="F11" s="19" t="s">
        <v>111</v>
      </c>
    </row>
    <row r="12" spans="1:6" x14ac:dyDescent="0.2">
      <c r="A12" s="1" t="s">
        <v>84</v>
      </c>
      <c r="B12" s="4">
        <v>1.0019999999999999E-2</v>
      </c>
      <c r="C12" s="1" t="s">
        <v>94</v>
      </c>
      <c r="D12" s="19" t="s">
        <v>102</v>
      </c>
      <c r="E12" s="19">
        <f t="shared" si="0"/>
        <v>5544.9412280996867</v>
      </c>
      <c r="F12" s="19" t="s">
        <v>111</v>
      </c>
    </row>
    <row r="13" spans="1:6" x14ac:dyDescent="0.2">
      <c r="A13" s="1" t="s">
        <v>85</v>
      </c>
      <c r="B13" s="4">
        <v>8.8999999999999999E-3</v>
      </c>
      <c r="C13" s="1" t="s">
        <v>94</v>
      </c>
      <c r="D13" s="19" t="s">
        <v>100</v>
      </c>
      <c r="E13" s="19">
        <f t="shared" si="0"/>
        <v>7035.1507025858009</v>
      </c>
      <c r="F13" s="19" t="s">
        <v>111</v>
      </c>
    </row>
    <row r="14" spans="1:6" x14ac:dyDescent="0.2">
      <c r="A14" s="1" t="s">
        <v>86</v>
      </c>
      <c r="B14" s="4">
        <v>7.980000000000001E-3</v>
      </c>
      <c r="C14" s="1" t="s">
        <v>94</v>
      </c>
      <c r="D14" s="19" t="s">
        <v>103</v>
      </c>
      <c r="E14" s="19">
        <f t="shared" si="0"/>
        <v>8759.9319360162535</v>
      </c>
      <c r="F14" s="19" t="s">
        <v>111</v>
      </c>
    </row>
    <row r="15" spans="1:6" x14ac:dyDescent="0.2">
      <c r="A15" s="5" t="s">
        <v>8</v>
      </c>
      <c r="B15" s="4"/>
      <c r="C15" s="1"/>
      <c r="D15" s="19"/>
      <c r="E15" s="19"/>
      <c r="F15" s="19"/>
    </row>
    <row r="16" spans="1:6" x14ac:dyDescent="0.2">
      <c r="A16" s="1" t="s">
        <v>87</v>
      </c>
      <c r="B16" s="4">
        <v>0.99980000000000002</v>
      </c>
      <c r="C16" s="1" t="s">
        <v>78</v>
      </c>
      <c r="D16" s="19" t="s">
        <v>104</v>
      </c>
      <c r="E16" s="19">
        <f t="shared" ref="E16:E22" si="1">(B8/(B16*$E$4/10))*SQRT(33.7^2+0.0408*E8)-(33.7*B8)/(B16*$E$4/10)</f>
        <v>0.18428404725768655</v>
      </c>
      <c r="F16" s="19" t="s">
        <v>112</v>
      </c>
    </row>
    <row r="17" spans="1:6" x14ac:dyDescent="0.2">
      <c r="A17" s="1" t="s">
        <v>88</v>
      </c>
      <c r="B17" s="4">
        <v>1</v>
      </c>
      <c r="C17" s="1" t="s">
        <v>78</v>
      </c>
      <c r="D17" s="19" t="s">
        <v>105</v>
      </c>
      <c r="E17" s="19">
        <f t="shared" si="1"/>
        <v>0.21478835245038219</v>
      </c>
      <c r="F17" s="19" t="s">
        <v>112</v>
      </c>
    </row>
    <row r="18" spans="1:6" x14ac:dyDescent="0.2">
      <c r="A18" s="1" t="s">
        <v>89</v>
      </c>
      <c r="B18" s="4">
        <v>0.99970000000000003</v>
      </c>
      <c r="C18" s="1" t="s">
        <v>78</v>
      </c>
      <c r="D18" s="19" t="s">
        <v>106</v>
      </c>
      <c r="E18" s="19">
        <f t="shared" si="1"/>
        <v>0.2480063642417818</v>
      </c>
      <c r="F18" s="19" t="s">
        <v>112</v>
      </c>
    </row>
    <row r="19" spans="1:6" x14ac:dyDescent="0.2">
      <c r="A19" s="1" t="s">
        <v>90</v>
      </c>
      <c r="B19" s="4">
        <v>0.99909999999999999</v>
      </c>
      <c r="C19" s="1" t="s">
        <v>78</v>
      </c>
      <c r="D19" s="19" t="s">
        <v>107</v>
      </c>
      <c r="E19" s="19">
        <f t="shared" si="1"/>
        <v>0.28250501208161349</v>
      </c>
      <c r="F19" s="19" t="s">
        <v>112</v>
      </c>
    </row>
    <row r="20" spans="1:6" x14ac:dyDescent="0.2">
      <c r="A20" s="1" t="s">
        <v>91</v>
      </c>
      <c r="B20" s="4">
        <v>0.99819999999999998</v>
      </c>
      <c r="C20" s="1" t="s">
        <v>78</v>
      </c>
      <c r="D20" s="19" t="s">
        <v>108</v>
      </c>
      <c r="E20" s="19">
        <f t="shared" si="1"/>
        <v>0.31846011976037181</v>
      </c>
      <c r="F20" s="19" t="s">
        <v>112</v>
      </c>
    </row>
    <row r="21" spans="1:6" x14ac:dyDescent="0.2">
      <c r="A21" s="1" t="s">
        <v>92</v>
      </c>
      <c r="B21" s="4">
        <v>0.997</v>
      </c>
      <c r="C21" s="1" t="s">
        <v>78</v>
      </c>
      <c r="D21" s="19" t="s">
        <v>109</v>
      </c>
      <c r="E21" s="19">
        <f t="shared" si="1"/>
        <v>0.35521654188295226</v>
      </c>
      <c r="F21" s="19" t="s">
        <v>112</v>
      </c>
    </row>
    <row r="22" spans="1:6" x14ac:dyDescent="0.2">
      <c r="A22" s="1" t="s">
        <v>93</v>
      </c>
      <c r="B22" s="4">
        <v>0.99570000000000003</v>
      </c>
      <c r="C22" s="1" t="s">
        <v>78</v>
      </c>
      <c r="D22" s="19" t="s">
        <v>110</v>
      </c>
      <c r="E22" s="19">
        <f t="shared" si="1"/>
        <v>0.39204133251770434</v>
      </c>
      <c r="F22" s="19" t="s">
        <v>112</v>
      </c>
    </row>
    <row r="23" spans="1:6" x14ac:dyDescent="0.2">
      <c r="A23" s="1"/>
      <c r="B23" s="3"/>
      <c r="C23" s="1"/>
      <c r="D23" s="19"/>
      <c r="E23" s="19"/>
      <c r="F23" s="19"/>
    </row>
    <row r="24" spans="1:6" x14ac:dyDescent="0.2">
      <c r="A24" s="1" t="s">
        <v>95</v>
      </c>
      <c r="B24" s="4">
        <v>981</v>
      </c>
      <c r="C24" s="1" t="s">
        <v>96</v>
      </c>
      <c r="D24" s="5" t="s">
        <v>113</v>
      </c>
      <c r="E24" s="1"/>
      <c r="F24" s="1"/>
    </row>
    <row r="25" spans="1:6" x14ac:dyDescent="0.2">
      <c r="D25" s="4" t="s">
        <v>352</v>
      </c>
      <c r="E25" s="6">
        <f t="shared" ref="E25:E31" si="2">E16*60*60/100</f>
        <v>6.6342257012767156</v>
      </c>
      <c r="F25" s="1" t="s">
        <v>115</v>
      </c>
    </row>
    <row r="26" spans="1:6" x14ac:dyDescent="0.2">
      <c r="D26" s="224" t="s">
        <v>346</v>
      </c>
      <c r="E26" s="6">
        <f t="shared" si="2"/>
        <v>7.7323806882137589</v>
      </c>
      <c r="F26" s="1" t="s">
        <v>115</v>
      </c>
    </row>
    <row r="27" spans="1:6" x14ac:dyDescent="0.2">
      <c r="D27" s="4" t="s">
        <v>347</v>
      </c>
      <c r="E27" s="6">
        <f t="shared" si="2"/>
        <v>8.9282291127041447</v>
      </c>
      <c r="F27" s="1" t="s">
        <v>115</v>
      </c>
    </row>
    <row r="28" spans="1:6" x14ac:dyDescent="0.2">
      <c r="D28" s="4" t="s">
        <v>348</v>
      </c>
      <c r="E28" s="6">
        <f t="shared" si="2"/>
        <v>10.170180434938086</v>
      </c>
      <c r="F28" s="1" t="s">
        <v>115</v>
      </c>
    </row>
    <row r="29" spans="1:6" x14ac:dyDescent="0.2">
      <c r="D29" s="4" t="s">
        <v>349</v>
      </c>
      <c r="E29" s="6">
        <f t="shared" si="2"/>
        <v>11.464564311373383</v>
      </c>
      <c r="F29" s="1" t="s">
        <v>115</v>
      </c>
    </row>
    <row r="30" spans="1:6" x14ac:dyDescent="0.2">
      <c r="D30" s="4" t="s">
        <v>350</v>
      </c>
      <c r="E30" s="6">
        <f t="shared" si="2"/>
        <v>12.787795507786281</v>
      </c>
      <c r="F30" s="1" t="s">
        <v>115</v>
      </c>
    </row>
    <row r="31" spans="1:6" x14ac:dyDescent="0.2">
      <c r="D31" s="4" t="s">
        <v>351</v>
      </c>
      <c r="E31" s="6">
        <f t="shared" si="2"/>
        <v>14.113487970637355</v>
      </c>
      <c r="F31" s="1" t="s">
        <v>115</v>
      </c>
    </row>
    <row r="32" spans="1:6" x14ac:dyDescent="0.2">
      <c r="D32" s="1"/>
      <c r="E32" s="6"/>
      <c r="F32" s="1"/>
    </row>
    <row r="33" spans="1:6" x14ac:dyDescent="0.2">
      <c r="D33" s="4" t="s">
        <v>352</v>
      </c>
      <c r="E33" s="47">
        <f t="shared" ref="E33:E39" si="3">E16/1000/3.785*929*60</f>
        <v>2.7138686378186119</v>
      </c>
      <c r="F33" s="1" t="s">
        <v>114</v>
      </c>
    </row>
    <row r="34" spans="1:6" x14ac:dyDescent="0.2">
      <c r="A34" s="12" t="s">
        <v>46</v>
      </c>
      <c r="D34" s="223" t="s">
        <v>346</v>
      </c>
      <c r="E34" s="67">
        <f t="shared" si="3"/>
        <v>3.1630918799430123</v>
      </c>
      <c r="F34" s="64" t="s">
        <v>114</v>
      </c>
    </row>
    <row r="35" spans="1:6" x14ac:dyDescent="0.2">
      <c r="A35" s="43" t="s">
        <v>47</v>
      </c>
      <c r="D35" s="4" t="s">
        <v>347</v>
      </c>
      <c r="E35" s="47">
        <f t="shared" si="3"/>
        <v>3.6522786638935054</v>
      </c>
      <c r="F35" s="1" t="s">
        <v>114</v>
      </c>
    </row>
    <row r="36" spans="1:6" x14ac:dyDescent="0.2">
      <c r="A36" s="43" t="s">
        <v>48</v>
      </c>
      <c r="D36" s="4" t="s">
        <v>348</v>
      </c>
      <c r="E36" s="47">
        <f t="shared" si="3"/>
        <v>4.1603248014343812</v>
      </c>
      <c r="F36" s="1" t="s">
        <v>114</v>
      </c>
    </row>
    <row r="37" spans="1:6" x14ac:dyDescent="0.2">
      <c r="A37" s="43" t="s">
        <v>49</v>
      </c>
      <c r="D37" s="4" t="s">
        <v>349</v>
      </c>
      <c r="E37" s="47">
        <f t="shared" si="3"/>
        <v>4.6898195707907862</v>
      </c>
      <c r="F37" s="1" t="s">
        <v>114</v>
      </c>
    </row>
    <row r="38" spans="1:6" x14ac:dyDescent="0.2">
      <c r="A38" s="43" t="s">
        <v>50</v>
      </c>
      <c r="D38" s="4" t="s">
        <v>350</v>
      </c>
      <c r="E38" s="47">
        <f t="shared" si="3"/>
        <v>5.2311149391164484</v>
      </c>
      <c r="F38" s="1" t="s">
        <v>114</v>
      </c>
    </row>
    <row r="39" spans="1:6" x14ac:dyDescent="0.2">
      <c r="A39" s="43" t="s">
        <v>51</v>
      </c>
      <c r="D39" s="4" t="s">
        <v>351</v>
      </c>
      <c r="E39" s="47">
        <f t="shared" si="3"/>
        <v>5.7734171399040521</v>
      </c>
      <c r="F39" s="1"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1. Advantages of ETSW</vt:lpstr>
      <vt:lpstr>2. Software Instructions</vt:lpstr>
      <vt:lpstr>3. Application Notes</vt:lpstr>
      <vt:lpstr>4. MAIN (START)+Summary</vt:lpstr>
      <vt:lpstr>5. Sample ETSW BWash Proc.</vt:lpstr>
      <vt:lpstr>6. ETSW Time</vt:lpstr>
      <vt:lpstr>7. Fluidization Time</vt:lpstr>
      <vt:lpstr>8. ETSW-Sand</vt:lpstr>
      <vt:lpstr>9. ETSW-Anthr</vt:lpstr>
      <vt:lpstr>10. Vmf-Sand</vt:lpstr>
      <vt:lpstr>11. Vmf-Anthracite</vt:lpstr>
      <vt:lpstr>12. Air Scour Example</vt:lpstr>
      <vt:lpstr>13. Conversion-gpm to gpm-sf</vt:lpstr>
      <vt:lpstr>14. Constants vs Temperature</vt:lpstr>
      <vt:lpstr>15. Typical Media Values</vt:lpstr>
      <vt:lpstr>16. pOH vs. pH</vt:lpstr>
      <vt:lpstr>17. Contact Info</vt:lpstr>
      <vt:lpstr>'4. MAIN (START)+Summary'!Print_Area</vt:lpstr>
      <vt:lpstr>'5. Sample ETSW BWash Proc.'!Print_Area</vt:lpstr>
    </vt:vector>
  </TitlesOfParts>
  <Company>Water Treatment Research,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ETSW Implementation Guide 2-2004</dc:title>
  <dc:subject>ETSW Backwash Procedure</dc:subject>
  <dc:creator>James Amburgey</dc:creator>
  <cp:keywords>ETSW, Backwashing, Filter Ripening, Filter Maturation</cp:keywords>
  <dc:description>This spreadsheet is intended to provide some guidelines for customizing the ETSW procedure to a given water treatment facility based upon commonly available data</dc:description>
  <cp:lastModifiedBy>James</cp:lastModifiedBy>
  <cp:lastPrinted>2019-12-08T15:01:42Z</cp:lastPrinted>
  <dcterms:created xsi:type="dcterms:W3CDTF">2001-12-13T14:26:43Z</dcterms:created>
  <dcterms:modified xsi:type="dcterms:W3CDTF">2020-01-13T15:54:15Z</dcterms:modified>
</cp:coreProperties>
</file>